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8915" windowHeight="11760" activeTab="2"/>
  </bookViews>
  <sheets>
    <sheet name="Hoja1" sheetId="1" r:id="rId1"/>
    <sheet name="Hoja2" sheetId="2" r:id="rId2"/>
    <sheet name="Hoja3" sheetId="3" r:id="rId3"/>
    <sheet name="Hoja4" sheetId="4" r:id="rId4"/>
  </sheets>
  <definedNames>
    <definedName name="_xlnm.Print_Area" localSheetId="0">Hoja1!$A$15:$F$32</definedName>
    <definedName name="_xlnm.Print_Area" localSheetId="1">Hoja2!$A$2:$J$41</definedName>
    <definedName name="_xlnm.Print_Area" localSheetId="2">Hoja3!$A$34:$G$82</definedName>
    <definedName name="_xlnm.Print_Area" localSheetId="3">Hoja4!$A$1:$G$39</definedName>
  </definedNames>
  <calcPr calcId="145621"/>
</workbook>
</file>

<file path=xl/calcChain.xml><?xml version="1.0" encoding="utf-8"?>
<calcChain xmlns="http://schemas.openxmlformats.org/spreadsheetml/2006/main">
  <c r="D82" i="3" l="1"/>
  <c r="D81" i="3"/>
  <c r="D80" i="3"/>
  <c r="B61" i="3"/>
  <c r="D53" i="3"/>
  <c r="E53" i="3"/>
  <c r="F53" i="3"/>
  <c r="G53" i="3"/>
  <c r="C53" i="3"/>
  <c r="D49" i="3"/>
  <c r="E49" i="3"/>
  <c r="F49" i="3"/>
  <c r="G49" i="3"/>
  <c r="C49" i="3"/>
  <c r="B81" i="3"/>
  <c r="D78" i="3"/>
  <c r="E78" i="3"/>
  <c r="F78" i="3"/>
  <c r="G78" i="3"/>
  <c r="C78" i="3"/>
  <c r="D77" i="3"/>
  <c r="E77" i="3"/>
  <c r="F77" i="3"/>
  <c r="G77" i="3"/>
  <c r="C77" i="3"/>
  <c r="D76" i="3"/>
  <c r="E76" i="3"/>
  <c r="F76" i="3"/>
  <c r="G76" i="3"/>
  <c r="C76" i="3"/>
  <c r="E72" i="3"/>
  <c r="D72" i="3"/>
  <c r="D75" i="3"/>
  <c r="D74" i="3"/>
  <c r="C75" i="3"/>
  <c r="C74" i="3"/>
  <c r="E70" i="3"/>
  <c r="E69" i="3"/>
  <c r="C70" i="3"/>
  <c r="C69" i="3"/>
  <c r="C47" i="3"/>
  <c r="C46" i="3"/>
  <c r="G45" i="3"/>
  <c r="F45" i="3"/>
  <c r="E45" i="3"/>
  <c r="D45" i="3"/>
  <c r="C45" i="3"/>
  <c r="G44" i="3"/>
  <c r="G48" i="3" s="1"/>
  <c r="F44" i="3"/>
  <c r="E44" i="3"/>
  <c r="D44" i="3"/>
  <c r="C44" i="3"/>
  <c r="C48" i="3" s="1"/>
  <c r="G43" i="3"/>
  <c r="F43" i="3"/>
  <c r="E43" i="3"/>
  <c r="D43" i="3"/>
  <c r="D48" i="3" s="1"/>
  <c r="D50" i="3" s="1"/>
  <c r="D51" i="3" s="1"/>
  <c r="D52" i="3" s="1"/>
  <c r="C43" i="3"/>
  <c r="G42" i="3"/>
  <c r="F42" i="3"/>
  <c r="E42" i="3"/>
  <c r="E48" i="3" s="1"/>
  <c r="E50" i="3" s="1"/>
  <c r="E51" i="3" s="1"/>
  <c r="E52" i="3" s="1"/>
  <c r="E61" i="3" s="1"/>
  <c r="D42" i="3"/>
  <c r="C42" i="3"/>
  <c r="G41" i="3"/>
  <c r="F41" i="3"/>
  <c r="F48" i="3" s="1"/>
  <c r="F50" i="3" s="1"/>
  <c r="F51" i="3" s="1"/>
  <c r="F52" i="3" s="1"/>
  <c r="E41" i="3"/>
  <c r="D41" i="3"/>
  <c r="C41" i="3"/>
  <c r="C14" i="3"/>
  <c r="C13" i="3"/>
  <c r="D12" i="3"/>
  <c r="E12" i="3"/>
  <c r="F12" i="3"/>
  <c r="G12" i="3"/>
  <c r="C12" i="3"/>
  <c r="D11" i="3"/>
  <c r="D15" i="3" s="1"/>
  <c r="E11" i="3"/>
  <c r="F11" i="3"/>
  <c r="G11" i="3"/>
  <c r="C11" i="3"/>
  <c r="C15" i="3" s="1"/>
  <c r="D10" i="3"/>
  <c r="E10" i="3"/>
  <c r="F10" i="3"/>
  <c r="G10" i="3"/>
  <c r="G15" i="3" s="1"/>
  <c r="C10" i="3"/>
  <c r="D9" i="3"/>
  <c r="E9" i="3"/>
  <c r="F9" i="3"/>
  <c r="F15" i="3" s="1"/>
  <c r="G9" i="3"/>
  <c r="C9" i="3"/>
  <c r="D8" i="3"/>
  <c r="E8" i="3"/>
  <c r="E15" i="3" s="1"/>
  <c r="F8" i="3"/>
  <c r="G8" i="3"/>
  <c r="C8" i="3"/>
  <c r="B5" i="3"/>
  <c r="D23" i="3" s="1"/>
  <c r="F23" i="3" s="1"/>
  <c r="D41" i="2"/>
  <c r="D39" i="2"/>
  <c r="C38" i="2"/>
  <c r="D38" i="2"/>
  <c r="C19" i="1"/>
  <c r="G50" i="3" l="1"/>
  <c r="G51" i="3" s="1"/>
  <c r="G52" i="3" s="1"/>
  <c r="G61" i="3" s="1"/>
  <c r="C50" i="3"/>
  <c r="C51" i="3" s="1"/>
  <c r="C52" i="3" s="1"/>
  <c r="C61" i="3" s="1"/>
  <c r="F72" i="3"/>
  <c r="E74" i="3"/>
  <c r="E75" i="3" s="1"/>
  <c r="F70" i="3"/>
  <c r="H70" i="3" s="1"/>
  <c r="F61" i="3"/>
  <c r="B28" i="3"/>
  <c r="G72" i="3" l="1"/>
  <c r="G74" i="3" s="1"/>
  <c r="G75" i="3" s="1"/>
  <c r="F74" i="3"/>
  <c r="F75" i="3" s="1"/>
  <c r="D61" i="3"/>
  <c r="B64" i="3" s="1"/>
  <c r="D39" i="4" l="1"/>
  <c r="D73" i="4"/>
  <c r="B67" i="4"/>
  <c r="C54" i="4"/>
  <c r="C53" i="4"/>
  <c r="G52" i="4"/>
  <c r="F52" i="4"/>
  <c r="E52" i="4"/>
  <c r="D52" i="4"/>
  <c r="C52" i="4"/>
  <c r="G51" i="4"/>
  <c r="F51" i="4"/>
  <c r="E51" i="4"/>
  <c r="D51" i="4"/>
  <c r="C51" i="4"/>
  <c r="G50" i="4"/>
  <c r="F50" i="4"/>
  <c r="E50" i="4"/>
  <c r="D50" i="4"/>
  <c r="C50" i="4"/>
  <c r="G49" i="4"/>
  <c r="F49" i="4"/>
  <c r="E49" i="4"/>
  <c r="D49" i="4"/>
  <c r="C49" i="4"/>
  <c r="G48" i="4"/>
  <c r="G55" i="4" s="1"/>
  <c r="G57" i="4" s="1"/>
  <c r="G58" i="4" s="1"/>
  <c r="G59" i="4" s="1"/>
  <c r="G67" i="4" s="1"/>
  <c r="F48" i="4"/>
  <c r="F55" i="4" s="1"/>
  <c r="F57" i="4" s="1"/>
  <c r="F58" i="4" s="1"/>
  <c r="F59" i="4" s="1"/>
  <c r="F67" i="4" s="1"/>
  <c r="E48" i="4"/>
  <c r="E55" i="4" s="1"/>
  <c r="E57" i="4" s="1"/>
  <c r="E58" i="4" s="1"/>
  <c r="E59" i="4" s="1"/>
  <c r="E67" i="4" s="1"/>
  <c r="D48" i="4"/>
  <c r="D55" i="4" s="1"/>
  <c r="D57" i="4" s="1"/>
  <c r="D58" i="4" s="1"/>
  <c r="D59" i="4" s="1"/>
  <c r="D67" i="4" s="1"/>
  <c r="C48" i="4"/>
  <c r="C55" i="4" s="1"/>
  <c r="C57" i="4" s="1"/>
  <c r="C58" i="4" s="1"/>
  <c r="C59" i="4" s="1"/>
  <c r="C67" i="4" s="1"/>
  <c r="B71" i="4" s="1"/>
  <c r="E35" i="4"/>
  <c r="D32" i="4"/>
  <c r="D33" i="4" s="1"/>
  <c r="D35" i="4" s="1"/>
  <c r="E32" i="4"/>
  <c r="F32" i="4"/>
  <c r="G32" i="4"/>
  <c r="G33" i="4" s="1"/>
  <c r="G35" i="4" s="1"/>
  <c r="E33" i="4"/>
  <c r="F33" i="4"/>
  <c r="F35" i="4" s="1"/>
  <c r="C33" i="4"/>
  <c r="C35" i="4" s="1"/>
  <c r="B38" i="4" s="1"/>
  <c r="C32" i="4"/>
  <c r="G14" i="4"/>
  <c r="F14" i="4"/>
  <c r="E14" i="4"/>
  <c r="E15" i="4" s="1"/>
  <c r="E16" i="4" s="1"/>
  <c r="E17" i="4" s="1"/>
  <c r="E25" i="4" s="1"/>
  <c r="D14" i="4"/>
  <c r="C14" i="4"/>
  <c r="B25" i="4"/>
  <c r="G18" i="4"/>
  <c r="F18" i="4"/>
  <c r="E18" i="4"/>
  <c r="D18" i="4"/>
  <c r="C18" i="4"/>
  <c r="C12" i="4"/>
  <c r="C11" i="4"/>
  <c r="G10" i="4"/>
  <c r="F10" i="4"/>
  <c r="E10" i="4"/>
  <c r="D10" i="4"/>
  <c r="C10" i="4"/>
  <c r="G9" i="4"/>
  <c r="F9" i="4"/>
  <c r="E9" i="4"/>
  <c r="D9" i="4"/>
  <c r="D13" i="4"/>
  <c r="C9" i="4"/>
  <c r="G8" i="4"/>
  <c r="F8" i="4"/>
  <c r="E8" i="4"/>
  <c r="D8" i="4"/>
  <c r="C8" i="4"/>
  <c r="G7" i="4"/>
  <c r="G13" i="4" s="1"/>
  <c r="G15" i="4" s="1"/>
  <c r="G16" i="4" s="1"/>
  <c r="G17" i="4" s="1"/>
  <c r="G25" i="4" s="1"/>
  <c r="F7" i="4"/>
  <c r="E7" i="4"/>
  <c r="D7" i="4"/>
  <c r="C7" i="4"/>
  <c r="G6" i="4"/>
  <c r="F6" i="4"/>
  <c r="F13" i="4"/>
  <c r="E6" i="4"/>
  <c r="E13" i="4" s="1"/>
  <c r="D6" i="4"/>
  <c r="C6" i="4"/>
  <c r="C13" i="4"/>
  <c r="C41" i="2"/>
  <c r="D40" i="2"/>
  <c r="C40" i="2"/>
  <c r="F17" i="3"/>
  <c r="F18" i="3" s="1"/>
  <c r="F19" i="3" s="1"/>
  <c r="F28" i="3" s="1"/>
  <c r="D17" i="3"/>
  <c r="D18" i="3" s="1"/>
  <c r="D19" i="3" s="1"/>
  <c r="D28" i="3" s="1"/>
  <c r="B31" i="3" s="1"/>
  <c r="G17" i="3"/>
  <c r="G18" i="3" s="1"/>
  <c r="G19" i="3" s="1"/>
  <c r="G28" i="3" s="1"/>
  <c r="E17" i="3"/>
  <c r="E18" i="3" s="1"/>
  <c r="E19" i="3" s="1"/>
  <c r="E28" i="3" s="1"/>
  <c r="C17" i="3"/>
  <c r="C18" i="3" s="1"/>
  <c r="C19" i="3" s="1"/>
  <c r="C28" i="3" s="1"/>
  <c r="D31" i="1"/>
  <c r="D32" i="1"/>
  <c r="D30" i="1"/>
  <c r="J26" i="2"/>
  <c r="J30" i="2" s="1"/>
  <c r="I26" i="2"/>
  <c r="I30" i="2"/>
  <c r="H26" i="2"/>
  <c r="H30" i="2" s="1"/>
  <c r="G26" i="2"/>
  <c r="G30" i="2" s="1"/>
  <c r="F26" i="2"/>
  <c r="F30" i="2" s="1"/>
  <c r="E26" i="2"/>
  <c r="E30" i="2" s="1"/>
  <c r="D26" i="2"/>
  <c r="D30" i="2" s="1"/>
  <c r="C26" i="2"/>
  <c r="J17" i="2"/>
  <c r="J29" i="2" s="1"/>
  <c r="I17" i="2"/>
  <c r="I29" i="2" s="1"/>
  <c r="H17" i="2"/>
  <c r="H29" i="2"/>
  <c r="G17" i="2"/>
  <c r="G29" i="2" s="1"/>
  <c r="F17" i="2"/>
  <c r="F29" i="2" s="1"/>
  <c r="E17" i="2"/>
  <c r="E29" i="2" s="1"/>
  <c r="D17" i="2"/>
  <c r="D29" i="2"/>
  <c r="C17" i="2"/>
  <c r="C29" i="2" s="1"/>
  <c r="B27" i="1"/>
  <c r="C21" i="1"/>
  <c r="F15" i="4"/>
  <c r="F16" i="4" s="1"/>
  <c r="F17" i="4" s="1"/>
  <c r="F25" i="4" s="1"/>
  <c r="D15" i="4"/>
  <c r="D16" i="4" s="1"/>
  <c r="D17" i="4" s="1"/>
  <c r="D25" i="4" s="1"/>
  <c r="C15" i="4"/>
  <c r="C16" i="4" s="1"/>
  <c r="C17" i="4" s="1"/>
  <c r="C25" i="4" s="1"/>
  <c r="G31" i="2" l="1"/>
  <c r="D31" i="2"/>
  <c r="D32" i="2" s="1"/>
  <c r="J31" i="2"/>
  <c r="H31" i="2"/>
  <c r="E31" i="2"/>
  <c r="F31" i="2"/>
  <c r="I31" i="2"/>
  <c r="C23" i="1"/>
  <c r="C24" i="1"/>
  <c r="C25" i="1"/>
  <c r="C26" i="1"/>
  <c r="B29" i="4"/>
  <c r="E32" i="2" l="1"/>
  <c r="F32" i="2" s="1"/>
  <c r="G32" i="2" s="1"/>
  <c r="H32" i="2" s="1"/>
  <c r="I32" i="2" s="1"/>
  <c r="J32" i="2" s="1"/>
  <c r="C27" i="1"/>
</calcChain>
</file>

<file path=xl/sharedStrings.xml><?xml version="1.0" encoding="utf-8"?>
<sst xmlns="http://schemas.openxmlformats.org/spreadsheetml/2006/main" count="253" uniqueCount="92">
  <si>
    <t>AÑO 1</t>
  </si>
  <si>
    <t>AÑO 2</t>
  </si>
  <si>
    <t>AÑO 3</t>
  </si>
  <si>
    <t>AÑO 4</t>
  </si>
  <si>
    <t>AÑO 5</t>
  </si>
  <si>
    <t xml:space="preserve"> </t>
  </si>
  <si>
    <t>PRECIO VTA</t>
  </si>
  <si>
    <t>TOTAL</t>
  </si>
  <si>
    <t>INGRESOS MENSUALES</t>
  </si>
  <si>
    <t>Ingresos al contado</t>
  </si>
  <si>
    <t>Ingresos a 15 dias</t>
  </si>
  <si>
    <t>Ingresos a 30 dias</t>
  </si>
  <si>
    <t>Ingresos a 45 dias</t>
  </si>
  <si>
    <t>Ingresos a 16 dias</t>
  </si>
  <si>
    <t>Ingresos a 32 dias</t>
  </si>
  <si>
    <t>Ingresos a 46 dias</t>
  </si>
  <si>
    <t>MES 1</t>
  </si>
  <si>
    <t>MES 2</t>
  </si>
  <si>
    <t>MES 3</t>
  </si>
  <si>
    <t>MES 4</t>
  </si>
  <si>
    <t>QUINC 1</t>
  </si>
  <si>
    <t>QUINC 2</t>
  </si>
  <si>
    <t>EGRESOS</t>
  </si>
  <si>
    <t>Mano de obra</t>
  </si>
  <si>
    <t>Agua</t>
  </si>
  <si>
    <t>Aditivos</t>
  </si>
  <si>
    <t>Energia</t>
  </si>
  <si>
    <t>INGRESOS</t>
  </si>
  <si>
    <t>SALDO</t>
  </si>
  <si>
    <t>ACUMULADO</t>
  </si>
  <si>
    <t>Energía</t>
  </si>
  <si>
    <t>Activo</t>
  </si>
  <si>
    <t>Valor compra</t>
  </si>
  <si>
    <t>Vida útil contable</t>
  </si>
  <si>
    <t>Terreno</t>
  </si>
  <si>
    <t>Obras Civiles</t>
  </si>
  <si>
    <t xml:space="preserve">Línea prod. </t>
  </si>
  <si>
    <t>O. Civ.</t>
  </si>
  <si>
    <t>L. Prod.</t>
  </si>
  <si>
    <t>Ingresos</t>
  </si>
  <si>
    <t xml:space="preserve">M. Obra </t>
  </si>
  <si>
    <t>A. O C</t>
  </si>
  <si>
    <t>A. L P</t>
  </si>
  <si>
    <t>Intereses</t>
  </si>
  <si>
    <t>UdI</t>
  </si>
  <si>
    <t>UAI</t>
  </si>
  <si>
    <t>Imp</t>
  </si>
  <si>
    <t>UDII</t>
  </si>
  <si>
    <t>Amort Cap.</t>
  </si>
  <si>
    <t>FFN</t>
  </si>
  <si>
    <t>O Civ</t>
  </si>
  <si>
    <t>Am Ac</t>
  </si>
  <si>
    <t>V. Cont</t>
  </si>
  <si>
    <t>P vta</t>
  </si>
  <si>
    <t>Gcia</t>
  </si>
  <si>
    <t>V Rec</t>
  </si>
  <si>
    <t>VR OC</t>
  </si>
  <si>
    <t>VR LP</t>
  </si>
  <si>
    <t>L Prod</t>
  </si>
  <si>
    <t>Cap Trab</t>
  </si>
  <si>
    <t>Tasa costo</t>
  </si>
  <si>
    <t>VAN</t>
  </si>
  <si>
    <t>Impuesto</t>
  </si>
  <si>
    <t>Ah Impositivo</t>
  </si>
  <si>
    <t>Cuota</t>
  </si>
  <si>
    <t>Amort. Cap</t>
  </si>
  <si>
    <t>Tasa</t>
  </si>
  <si>
    <t>UNIVERSIDAD NACIONAL DE SALTA</t>
  </si>
  <si>
    <t>FACULTAD DE CIENCIAS ECONOMICAS, JURIDICAS Y SOCIALES</t>
  </si>
  <si>
    <t>ADMINISTRACION FINANCIERA DE EMPRESAS II</t>
  </si>
  <si>
    <t>UNIDAD III: DECISIONES ESTRATEGICAS DE FINANCIAMIENTO A LARGO PLAZO</t>
  </si>
  <si>
    <t>FORMACION PRACTICA - TEMA I - SOLUCION</t>
  </si>
  <si>
    <t>Valor salv.</t>
  </si>
  <si>
    <t>Demanda Emp. Lts.</t>
  </si>
  <si>
    <t>Precio venta</t>
  </si>
  <si>
    <t xml:space="preserve">Entonces 12.000/12 = </t>
  </si>
  <si>
    <t xml:space="preserve">Precio </t>
  </si>
  <si>
    <t>Cant. Lts.</t>
  </si>
  <si>
    <t>Total</t>
  </si>
  <si>
    <t>DATOS :</t>
  </si>
  <si>
    <t>Calculo Capital de Trabajo:</t>
  </si>
  <si>
    <t xml:space="preserve">Cantidad </t>
  </si>
  <si>
    <t>Precio</t>
  </si>
  <si>
    <t>Amort Prest.</t>
  </si>
  <si>
    <t>Rec. Cap Trab</t>
  </si>
  <si>
    <t>Increm C. Trab.</t>
  </si>
  <si>
    <t>Financiamiento</t>
  </si>
  <si>
    <t>Saldo</t>
  </si>
  <si>
    <t>Cuota d/Imp</t>
  </si>
  <si>
    <t>VAN PURO</t>
  </si>
  <si>
    <t>VAN FINANCIADO</t>
  </si>
  <si>
    <t>VAN FINANCIAMIENTO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</si>
</sst>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\ #,##0.00;[Red]&quot;$&quot;\ \-#,##0.00"/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3" fontId="0" fillId="0" borderId="2" xfId="0" applyNumberFormat="1" applyBorder="1"/>
    <xf numFmtId="3" fontId="1" fillId="0" borderId="2" xfId="0" applyNumberFormat="1" applyFont="1" applyBorder="1"/>
    <xf numFmtId="9" fontId="0" fillId="0" borderId="2" xfId="0" applyNumberFormat="1" applyBorder="1" applyAlignment="1">
      <alignment horizontal="center"/>
    </xf>
    <xf numFmtId="4" fontId="0" fillId="0" borderId="2" xfId="0" applyNumberFormat="1" applyBorder="1"/>
    <xf numFmtId="4" fontId="1" fillId="0" borderId="2" xfId="0" applyNumberFormat="1" applyFont="1" applyBorder="1"/>
    <xf numFmtId="0" fontId="0" fillId="0" borderId="2" xfId="0" applyBorder="1" applyAlignment="1">
      <alignment horizontal="center"/>
    </xf>
    <xf numFmtId="3" fontId="0" fillId="0" borderId="0" xfId="0" applyNumberFormat="1"/>
    <xf numFmtId="0" fontId="1" fillId="0" borderId="2" xfId="0" applyFont="1" applyBorder="1"/>
    <xf numFmtId="3" fontId="0" fillId="0" borderId="3" xfId="0" applyNumberFormat="1" applyBorder="1"/>
    <xf numFmtId="3" fontId="0" fillId="0" borderId="2" xfId="0" applyNumberFormat="1" applyBorder="1" applyAlignment="1">
      <alignment horizontal="center"/>
    </xf>
    <xf numFmtId="0" fontId="2" fillId="0" borderId="2" xfId="0" applyFont="1" applyBorder="1"/>
    <xf numFmtId="3" fontId="2" fillId="0" borderId="2" xfId="0" applyNumberFormat="1" applyFont="1" applyBorder="1"/>
    <xf numFmtId="0" fontId="2" fillId="0" borderId="2" xfId="0" applyFont="1" applyFill="1" applyBorder="1"/>
    <xf numFmtId="9" fontId="2" fillId="0" borderId="2" xfId="0" applyNumberFormat="1" applyFont="1" applyBorder="1" applyAlignment="1">
      <alignment horizontal="center"/>
    </xf>
    <xf numFmtId="0" fontId="2" fillId="0" borderId="0" xfId="0" applyFont="1" applyBorder="1"/>
    <xf numFmtId="3" fontId="2" fillId="0" borderId="0" xfId="0" applyNumberFormat="1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2" fontId="0" fillId="0" borderId="2" xfId="0" applyNumberFormat="1" applyBorder="1"/>
    <xf numFmtId="164" fontId="0" fillId="0" borderId="2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left"/>
    </xf>
    <xf numFmtId="3" fontId="4" fillId="0" borderId="2" xfId="0" applyNumberFormat="1" applyFont="1" applyBorder="1"/>
    <xf numFmtId="0" fontId="0" fillId="0" borderId="2" xfId="0" applyFont="1" applyBorder="1"/>
    <xf numFmtId="3" fontId="2" fillId="0" borderId="2" xfId="0" applyNumberFormat="1" applyFont="1" applyBorder="1" applyAlignment="1">
      <alignment horizontal="center"/>
    </xf>
    <xf numFmtId="0" fontId="2" fillId="0" borderId="0" xfId="0" applyFont="1" applyFill="1" applyBorder="1"/>
    <xf numFmtId="3" fontId="0" fillId="0" borderId="0" xfId="0" applyNumberFormat="1" applyBorder="1" applyAlignment="1">
      <alignment horizontal="center"/>
    </xf>
    <xf numFmtId="0" fontId="0" fillId="0" borderId="0" xfId="0" applyFont="1" applyBorder="1"/>
    <xf numFmtId="0" fontId="0" fillId="0" borderId="0" xfId="0" applyFont="1"/>
    <xf numFmtId="3" fontId="0" fillId="0" borderId="0" xfId="0" applyNumberFormat="1" applyBorder="1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zoomScale="150" zoomScaleNormal="150" workbookViewId="0">
      <selection activeCell="D32" sqref="D32"/>
    </sheetView>
  </sheetViews>
  <sheetFormatPr baseColWidth="10" defaultRowHeight="15" x14ac:dyDescent="0.25"/>
  <cols>
    <col min="1" max="1" width="17.7109375" customWidth="1"/>
    <col min="2" max="2" width="12.28515625" customWidth="1"/>
    <col min="8" max="8" width="12.140625" customWidth="1"/>
    <col min="9" max="9" width="13.42578125" customWidth="1"/>
    <col min="10" max="10" width="15.85546875" customWidth="1"/>
    <col min="11" max="11" width="16.7109375" customWidth="1"/>
  </cols>
  <sheetData>
    <row r="1" spans="1:7" x14ac:dyDescent="0.25">
      <c r="A1" s="22" t="s">
        <v>67</v>
      </c>
    </row>
    <row r="2" spans="1:7" x14ac:dyDescent="0.25">
      <c r="A2" s="22" t="s">
        <v>68</v>
      </c>
    </row>
    <row r="3" spans="1:7" x14ac:dyDescent="0.25">
      <c r="A3" s="22" t="s">
        <v>69</v>
      </c>
    </row>
    <row r="4" spans="1:7" x14ac:dyDescent="0.25">
      <c r="A4" s="22" t="s">
        <v>70</v>
      </c>
    </row>
    <row r="6" spans="1:7" ht="21" x14ac:dyDescent="0.35">
      <c r="A6" s="23" t="s">
        <v>71</v>
      </c>
      <c r="B6" s="23"/>
      <c r="C6" s="23"/>
      <c r="D6" s="23"/>
      <c r="E6" s="23"/>
      <c r="F6" s="23"/>
      <c r="G6" s="23"/>
    </row>
    <row r="7" spans="1:7" ht="21" x14ac:dyDescent="0.35">
      <c r="A7" s="26"/>
      <c r="B7" s="26"/>
      <c r="C7" s="26"/>
      <c r="D7" s="26"/>
      <c r="E7" s="26"/>
      <c r="F7" s="26"/>
      <c r="G7" s="26"/>
    </row>
    <row r="8" spans="1:7" ht="21" x14ac:dyDescent="0.35">
      <c r="A8" s="27" t="s">
        <v>79</v>
      </c>
      <c r="B8" s="26"/>
      <c r="C8" s="26"/>
      <c r="D8" s="26"/>
      <c r="E8" s="26"/>
      <c r="F8" s="26"/>
      <c r="G8" s="26"/>
    </row>
    <row r="10" spans="1:7" x14ac:dyDescent="0.25">
      <c r="A10" s="8" t="s">
        <v>31</v>
      </c>
      <c r="B10" s="8" t="s">
        <v>32</v>
      </c>
      <c r="C10" s="8" t="s">
        <v>33</v>
      </c>
      <c r="D10" s="8" t="s">
        <v>72</v>
      </c>
    </row>
    <row r="11" spans="1:7" x14ac:dyDescent="0.25">
      <c r="A11" s="2" t="s">
        <v>34</v>
      </c>
      <c r="B11" s="12">
        <v>100000</v>
      </c>
      <c r="C11" s="12"/>
      <c r="D11" s="5">
        <v>1</v>
      </c>
    </row>
    <row r="12" spans="1:7" x14ac:dyDescent="0.25">
      <c r="A12" s="2" t="s">
        <v>35</v>
      </c>
      <c r="B12" s="12">
        <v>200000</v>
      </c>
      <c r="C12" s="12">
        <v>20</v>
      </c>
      <c r="D12" s="5">
        <v>0.3</v>
      </c>
    </row>
    <row r="13" spans="1:7" x14ac:dyDescent="0.25">
      <c r="A13" s="2" t="s">
        <v>36</v>
      </c>
      <c r="B13" s="12">
        <v>300000</v>
      </c>
      <c r="C13" s="12">
        <v>10</v>
      </c>
      <c r="D13" s="5">
        <v>0.7</v>
      </c>
    </row>
    <row r="15" spans="1:7" x14ac:dyDescent="0.25">
      <c r="B15" s="1" t="s">
        <v>0</v>
      </c>
      <c r="C15" s="1" t="s">
        <v>1</v>
      </c>
      <c r="D15" s="1" t="s">
        <v>2</v>
      </c>
      <c r="E15" s="1" t="s">
        <v>3</v>
      </c>
      <c r="F15" s="1" t="s">
        <v>4</v>
      </c>
    </row>
    <row r="16" spans="1:7" x14ac:dyDescent="0.25">
      <c r="A16" s="2" t="s">
        <v>73</v>
      </c>
      <c r="B16" s="3">
        <v>12000</v>
      </c>
      <c r="C16" s="3">
        <v>12000</v>
      </c>
      <c r="D16" s="3">
        <v>16000</v>
      </c>
      <c r="E16" s="3">
        <v>16000</v>
      </c>
      <c r="F16" s="3">
        <v>20000</v>
      </c>
    </row>
    <row r="17" spans="1:6" x14ac:dyDescent="0.25">
      <c r="A17" s="2" t="s">
        <v>74</v>
      </c>
      <c r="B17" s="24">
        <v>20</v>
      </c>
      <c r="C17" s="24">
        <v>20</v>
      </c>
      <c r="D17" s="24">
        <v>20</v>
      </c>
      <c r="E17" s="24">
        <v>25</v>
      </c>
      <c r="F17" s="24">
        <v>25</v>
      </c>
    </row>
    <row r="19" spans="1:6" x14ac:dyDescent="0.25">
      <c r="A19" s="2" t="s">
        <v>75</v>
      </c>
      <c r="B19" s="2"/>
      <c r="C19" s="2">
        <f>12000/12</f>
        <v>1000</v>
      </c>
      <c r="D19" t="s">
        <v>5</v>
      </c>
    </row>
    <row r="20" spans="1:6" x14ac:dyDescent="0.25">
      <c r="B20" s="2" t="s">
        <v>6</v>
      </c>
      <c r="C20" s="2">
        <v>20</v>
      </c>
    </row>
    <row r="21" spans="1:6" x14ac:dyDescent="0.25">
      <c r="B21" s="2" t="s">
        <v>7</v>
      </c>
      <c r="C21" s="4">
        <f>C20*C19</f>
        <v>20000</v>
      </c>
      <c r="D21" s="2" t="s">
        <v>8</v>
      </c>
      <c r="E21" s="2"/>
    </row>
    <row r="23" spans="1:6" x14ac:dyDescent="0.25">
      <c r="A23" s="2" t="s">
        <v>9</v>
      </c>
      <c r="B23" s="5">
        <v>0.1</v>
      </c>
      <c r="C23" s="6">
        <f>C21*B23</f>
        <v>2000</v>
      </c>
    </row>
    <row r="24" spans="1:6" x14ac:dyDescent="0.25">
      <c r="A24" s="2" t="s">
        <v>13</v>
      </c>
      <c r="B24" s="5">
        <v>0.3</v>
      </c>
      <c r="C24" s="6">
        <f>C21*B24</f>
        <v>6000</v>
      </c>
    </row>
    <row r="25" spans="1:6" x14ac:dyDescent="0.25">
      <c r="A25" s="2" t="s">
        <v>14</v>
      </c>
      <c r="B25" s="5">
        <v>0.3</v>
      </c>
      <c r="C25" s="6">
        <f>C21*B25</f>
        <v>6000</v>
      </c>
    </row>
    <row r="26" spans="1:6" x14ac:dyDescent="0.25">
      <c r="A26" s="2" t="s">
        <v>15</v>
      </c>
      <c r="B26" s="5">
        <v>0.3</v>
      </c>
      <c r="C26" s="6">
        <f>C21*B26</f>
        <v>6000</v>
      </c>
    </row>
    <row r="27" spans="1:6" x14ac:dyDescent="0.25">
      <c r="B27" s="5">
        <f>SUM(B23:B26)</f>
        <v>1</v>
      </c>
      <c r="C27" s="7">
        <f>SUM(C23:C26)</f>
        <v>20000</v>
      </c>
    </row>
    <row r="29" spans="1:6" x14ac:dyDescent="0.25">
      <c r="B29" s="19" t="s">
        <v>76</v>
      </c>
      <c r="C29" s="19" t="s">
        <v>77</v>
      </c>
      <c r="D29" s="19" t="s">
        <v>78</v>
      </c>
    </row>
    <row r="30" spans="1:6" x14ac:dyDescent="0.25">
      <c r="A30" s="2" t="s">
        <v>24</v>
      </c>
      <c r="B30" s="12">
        <v>2</v>
      </c>
      <c r="C30" s="12">
        <v>500</v>
      </c>
      <c r="D30" s="3">
        <f>C30*B30</f>
        <v>1000</v>
      </c>
    </row>
    <row r="31" spans="1:6" x14ac:dyDescent="0.25">
      <c r="A31" s="2" t="s">
        <v>25</v>
      </c>
      <c r="B31" s="12">
        <v>4</v>
      </c>
      <c r="C31" s="12">
        <v>500</v>
      </c>
      <c r="D31" s="3">
        <f>C31*B31</f>
        <v>2000</v>
      </c>
    </row>
    <row r="32" spans="1:6" x14ac:dyDescent="0.25">
      <c r="A32" s="2" t="s">
        <v>30</v>
      </c>
      <c r="B32" s="25">
        <v>0.5</v>
      </c>
      <c r="C32" s="12">
        <v>500</v>
      </c>
      <c r="D32" s="3">
        <f>C32*B32</f>
        <v>250</v>
      </c>
    </row>
    <row r="39" spans="2:4" x14ac:dyDescent="0.25">
      <c r="B39" s="9"/>
      <c r="C39" s="9"/>
      <c r="D39" s="9"/>
    </row>
  </sheetData>
  <mergeCells count="1">
    <mergeCell ref="A6:G6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topLeftCell="A7" workbookViewId="0">
      <selection activeCell="D41" sqref="D41"/>
    </sheetView>
  </sheetViews>
  <sheetFormatPr baseColWidth="10" defaultRowHeight="15" x14ac:dyDescent="0.25"/>
  <cols>
    <col min="2" max="2" width="17.7109375" customWidth="1"/>
    <col min="5" max="5" width="12" customWidth="1"/>
  </cols>
  <sheetData>
    <row r="1" spans="1:16" x14ac:dyDescent="0.25">
      <c r="A1" t="s">
        <v>80</v>
      </c>
    </row>
    <row r="3" spans="1:16" x14ac:dyDescent="0.25">
      <c r="C3" s="21" t="s">
        <v>16</v>
      </c>
      <c r="D3" s="21"/>
      <c r="E3" s="21" t="s">
        <v>17</v>
      </c>
      <c r="F3" s="21"/>
      <c r="G3" s="21" t="s">
        <v>18</v>
      </c>
      <c r="H3" s="21"/>
      <c r="I3" s="21" t="s">
        <v>19</v>
      </c>
      <c r="J3" s="21"/>
    </row>
    <row r="4" spans="1:16" x14ac:dyDescent="0.25">
      <c r="C4" s="8" t="s">
        <v>20</v>
      </c>
      <c r="D4" s="8" t="s">
        <v>21</v>
      </c>
      <c r="E4" s="8" t="s">
        <v>20</v>
      </c>
      <c r="F4" s="8" t="s">
        <v>21</v>
      </c>
      <c r="G4" s="8" t="s">
        <v>20</v>
      </c>
      <c r="H4" s="8" t="s">
        <v>21</v>
      </c>
      <c r="I4" s="8" t="s">
        <v>20</v>
      </c>
      <c r="J4" s="8" t="s">
        <v>21</v>
      </c>
    </row>
    <row r="5" spans="1:16" x14ac:dyDescent="0.25">
      <c r="A5" s="20" t="s">
        <v>17</v>
      </c>
      <c r="B5" s="2" t="s">
        <v>9</v>
      </c>
      <c r="C5" s="2">
        <v>0</v>
      </c>
      <c r="D5" s="2">
        <v>0</v>
      </c>
      <c r="E5" s="3">
        <v>2000</v>
      </c>
      <c r="F5" s="3"/>
      <c r="G5" s="3"/>
      <c r="H5" s="3"/>
      <c r="I5" s="3"/>
      <c r="J5" s="3"/>
      <c r="K5" s="9"/>
      <c r="L5" s="9"/>
      <c r="M5" s="9"/>
      <c r="N5" s="9"/>
      <c r="O5" s="9"/>
      <c r="P5" s="9"/>
    </row>
    <row r="6" spans="1:16" x14ac:dyDescent="0.25">
      <c r="A6" s="20"/>
      <c r="B6" s="2" t="s">
        <v>10</v>
      </c>
      <c r="C6" s="2"/>
      <c r="D6" s="2"/>
      <c r="E6" s="3"/>
      <c r="F6" s="3">
        <v>6000</v>
      </c>
      <c r="G6" s="3"/>
      <c r="H6" s="3"/>
      <c r="I6" s="3"/>
      <c r="J6" s="3"/>
      <c r="K6" s="9"/>
      <c r="L6" s="9"/>
      <c r="M6" s="9"/>
      <c r="N6" s="9"/>
      <c r="O6" s="9"/>
      <c r="P6" s="9"/>
    </row>
    <row r="7" spans="1:16" x14ac:dyDescent="0.25">
      <c r="A7" s="20"/>
      <c r="B7" s="2" t="s">
        <v>11</v>
      </c>
      <c r="C7" s="2"/>
      <c r="D7" s="2"/>
      <c r="E7" s="3"/>
      <c r="F7" s="3"/>
      <c r="G7" s="3">
        <v>6000</v>
      </c>
      <c r="H7" s="3" t="s">
        <v>5</v>
      </c>
      <c r="I7" s="3"/>
      <c r="J7" s="3"/>
      <c r="K7" s="9"/>
      <c r="L7" s="9"/>
      <c r="M7" s="9"/>
      <c r="N7" s="9"/>
      <c r="O7" s="9"/>
      <c r="P7" s="9"/>
    </row>
    <row r="8" spans="1:16" x14ac:dyDescent="0.25">
      <c r="A8" s="20"/>
      <c r="B8" s="2" t="s">
        <v>12</v>
      </c>
      <c r="C8" s="2"/>
      <c r="D8" s="2"/>
      <c r="E8" s="3"/>
      <c r="F8" s="3"/>
      <c r="G8" s="3"/>
      <c r="H8" s="3">
        <v>6000</v>
      </c>
      <c r="I8" s="3"/>
      <c r="J8" s="3"/>
      <c r="K8" s="9"/>
      <c r="L8" s="9"/>
      <c r="M8" s="9"/>
      <c r="N8" s="9"/>
      <c r="O8" s="9"/>
      <c r="P8" s="9"/>
    </row>
    <row r="9" spans="1:16" x14ac:dyDescent="0.25">
      <c r="A9" s="20" t="s">
        <v>18</v>
      </c>
      <c r="B9" s="2" t="s">
        <v>9</v>
      </c>
      <c r="C9" s="2">
        <v>0</v>
      </c>
      <c r="D9" s="2">
        <v>0</v>
      </c>
      <c r="E9" s="3">
        <v>0</v>
      </c>
      <c r="F9" s="3">
        <v>0</v>
      </c>
      <c r="G9" s="3">
        <v>2000</v>
      </c>
      <c r="H9" s="3"/>
      <c r="I9" s="3"/>
      <c r="J9" s="3"/>
      <c r="K9" s="9"/>
      <c r="L9" s="9"/>
      <c r="M9" s="9"/>
      <c r="N9" s="9"/>
      <c r="O9" s="9"/>
      <c r="P9" s="9"/>
    </row>
    <row r="10" spans="1:16" x14ac:dyDescent="0.25">
      <c r="A10" s="20"/>
      <c r="B10" s="2" t="s">
        <v>10</v>
      </c>
      <c r="C10" s="2"/>
      <c r="D10" s="2"/>
      <c r="E10" s="3"/>
      <c r="F10" s="3" t="s">
        <v>5</v>
      </c>
      <c r="G10" s="3"/>
      <c r="H10" s="3">
        <v>6000</v>
      </c>
      <c r="I10" s="3"/>
      <c r="J10" s="3"/>
      <c r="K10" s="9"/>
      <c r="L10" s="9"/>
      <c r="M10" s="9"/>
      <c r="N10" s="9"/>
      <c r="O10" s="9"/>
      <c r="P10" s="9"/>
    </row>
    <row r="11" spans="1:16" x14ac:dyDescent="0.25">
      <c r="A11" s="20"/>
      <c r="B11" s="2" t="s">
        <v>11</v>
      </c>
      <c r="C11" s="2"/>
      <c r="D11" s="2"/>
      <c r="E11" s="3"/>
      <c r="F11" s="3"/>
      <c r="G11" s="3" t="s">
        <v>5</v>
      </c>
      <c r="H11" s="3" t="s">
        <v>5</v>
      </c>
      <c r="I11" s="3">
        <v>6000</v>
      </c>
      <c r="J11" s="3"/>
      <c r="K11" s="9"/>
      <c r="L11" s="9"/>
      <c r="M11" s="9"/>
      <c r="N11" s="9"/>
      <c r="O11" s="9"/>
      <c r="P11" s="9"/>
    </row>
    <row r="12" spans="1:16" x14ac:dyDescent="0.25">
      <c r="A12" s="20"/>
      <c r="B12" s="2" t="s">
        <v>12</v>
      </c>
      <c r="C12" s="2"/>
      <c r="D12" s="2"/>
      <c r="E12" s="3"/>
      <c r="F12" s="3"/>
      <c r="G12" s="3"/>
      <c r="H12" s="3" t="s">
        <v>5</v>
      </c>
      <c r="I12" s="3"/>
      <c r="J12" s="3">
        <v>6000</v>
      </c>
      <c r="K12" s="9"/>
      <c r="L12" s="9"/>
      <c r="M12" s="9"/>
      <c r="N12" s="9"/>
      <c r="O12" s="9"/>
      <c r="P12" s="9"/>
    </row>
    <row r="13" spans="1:16" x14ac:dyDescent="0.25">
      <c r="A13" s="20" t="s">
        <v>19</v>
      </c>
      <c r="B13" s="2" t="s">
        <v>9</v>
      </c>
      <c r="C13" s="2">
        <v>0</v>
      </c>
      <c r="D13" s="2">
        <v>0</v>
      </c>
      <c r="E13" s="3">
        <v>0</v>
      </c>
      <c r="F13" s="3">
        <v>0</v>
      </c>
      <c r="G13" s="3">
        <v>0</v>
      </c>
      <c r="H13" s="3">
        <v>0</v>
      </c>
      <c r="I13" s="3">
        <v>2000</v>
      </c>
      <c r="J13" s="3"/>
      <c r="K13" s="9"/>
      <c r="L13" s="9"/>
      <c r="M13" s="9"/>
      <c r="N13" s="9"/>
      <c r="O13" s="9"/>
      <c r="P13" s="9"/>
    </row>
    <row r="14" spans="1:16" x14ac:dyDescent="0.25">
      <c r="A14" s="20"/>
      <c r="B14" s="2" t="s">
        <v>10</v>
      </c>
      <c r="C14" s="2"/>
      <c r="D14" s="2"/>
      <c r="E14" s="3"/>
      <c r="F14" s="3" t="s">
        <v>5</v>
      </c>
      <c r="G14" s="3"/>
      <c r="H14" s="3" t="s">
        <v>5</v>
      </c>
      <c r="I14" s="3"/>
      <c r="J14" s="3">
        <v>6000</v>
      </c>
      <c r="K14" s="9"/>
      <c r="L14" s="9"/>
      <c r="M14" s="9"/>
      <c r="N14" s="9"/>
      <c r="O14" s="9"/>
      <c r="P14" s="9"/>
    </row>
    <row r="15" spans="1:16" x14ac:dyDescent="0.25">
      <c r="A15" s="20"/>
      <c r="B15" s="2" t="s">
        <v>11</v>
      </c>
      <c r="C15" s="2"/>
      <c r="D15" s="2"/>
      <c r="E15" s="3"/>
      <c r="F15" s="3"/>
      <c r="G15" s="3" t="s">
        <v>5</v>
      </c>
      <c r="H15" s="3" t="s">
        <v>5</v>
      </c>
      <c r="I15" s="3" t="s">
        <v>5</v>
      </c>
      <c r="J15" s="3"/>
      <c r="K15" s="9"/>
      <c r="L15" s="9"/>
      <c r="M15" s="9"/>
      <c r="N15" s="9"/>
      <c r="O15" s="9"/>
      <c r="P15" s="9"/>
    </row>
    <row r="16" spans="1:16" x14ac:dyDescent="0.25">
      <c r="A16" s="20"/>
      <c r="B16" s="2" t="s">
        <v>12</v>
      </c>
      <c r="C16" s="2"/>
      <c r="D16" s="2"/>
      <c r="E16" s="3"/>
      <c r="F16" s="3"/>
      <c r="G16" s="3"/>
      <c r="H16" s="3" t="s">
        <v>5</v>
      </c>
      <c r="I16" s="3"/>
      <c r="J16" s="3" t="s">
        <v>5</v>
      </c>
      <c r="K16" s="9"/>
      <c r="L16" s="9"/>
      <c r="M16" s="9"/>
      <c r="N16" s="9"/>
      <c r="O16" s="9"/>
      <c r="P16" s="9"/>
    </row>
    <row r="17" spans="1:16" x14ac:dyDescent="0.25">
      <c r="C17" s="10">
        <f>SUM(C5:C16)</f>
        <v>0</v>
      </c>
      <c r="D17" s="10">
        <f>SUM(D5:D16)</f>
        <v>0</v>
      </c>
      <c r="E17" s="10">
        <f>SUM(E5:E16)</f>
        <v>2000</v>
      </c>
      <c r="F17" s="10">
        <f>SUM(F5:F16)</f>
        <v>6000</v>
      </c>
      <c r="G17" s="10">
        <f>SUM(G5:G16)</f>
        <v>8000</v>
      </c>
      <c r="H17" s="10">
        <f>SUM(H5:H16)</f>
        <v>12000</v>
      </c>
      <c r="I17" s="10">
        <f>SUM(I5:I16)</f>
        <v>8000</v>
      </c>
      <c r="J17" s="10">
        <f>SUM(J5:J16)</f>
        <v>12000</v>
      </c>
      <c r="K17" s="9"/>
      <c r="L17" s="9"/>
      <c r="M17" s="9"/>
      <c r="N17" s="9"/>
      <c r="O17" s="9"/>
      <c r="P17" s="9"/>
    </row>
    <row r="18" spans="1:16" x14ac:dyDescent="0.25"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 x14ac:dyDescent="0.25"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1:16" x14ac:dyDescent="0.25">
      <c r="C20" s="21" t="s">
        <v>16</v>
      </c>
      <c r="D20" s="21"/>
      <c r="E20" s="21" t="s">
        <v>17</v>
      </c>
      <c r="F20" s="21"/>
      <c r="G20" s="21" t="s">
        <v>18</v>
      </c>
      <c r="H20" s="21"/>
      <c r="I20" s="21" t="s">
        <v>19</v>
      </c>
      <c r="J20" s="21"/>
      <c r="K20" s="9"/>
      <c r="L20" s="9"/>
      <c r="M20" s="9"/>
      <c r="N20" s="9"/>
      <c r="O20" s="9"/>
      <c r="P20" s="9"/>
    </row>
    <row r="21" spans="1:16" x14ac:dyDescent="0.25">
      <c r="B21" s="10" t="s">
        <v>22</v>
      </c>
      <c r="C21" s="8" t="s">
        <v>20</v>
      </c>
      <c r="D21" s="8" t="s">
        <v>21</v>
      </c>
      <c r="E21" s="8" t="s">
        <v>20</v>
      </c>
      <c r="F21" s="8" t="s">
        <v>21</v>
      </c>
      <c r="G21" s="8" t="s">
        <v>20</v>
      </c>
      <c r="H21" s="8" t="s">
        <v>21</v>
      </c>
      <c r="I21" s="8" t="s">
        <v>20</v>
      </c>
      <c r="J21" s="8" t="s">
        <v>21</v>
      </c>
      <c r="K21" s="9"/>
      <c r="L21" s="9"/>
      <c r="M21" s="9"/>
      <c r="N21" s="9"/>
      <c r="O21" s="9"/>
      <c r="P21" s="9"/>
    </row>
    <row r="22" spans="1:16" x14ac:dyDescent="0.25">
      <c r="A22" s="20"/>
      <c r="B22" s="2" t="s">
        <v>23</v>
      </c>
      <c r="C22" s="2">
        <v>0</v>
      </c>
      <c r="D22" s="3">
        <v>-5000</v>
      </c>
      <c r="E22" s="3" t="s">
        <v>5</v>
      </c>
      <c r="F22" s="3">
        <v>-5000</v>
      </c>
      <c r="G22" s="3"/>
      <c r="H22" s="3">
        <v>-5000</v>
      </c>
      <c r="I22" s="3"/>
      <c r="J22" s="3">
        <v>-5000</v>
      </c>
      <c r="K22" s="9"/>
      <c r="L22" s="9"/>
      <c r="M22" s="9"/>
      <c r="N22" s="9"/>
      <c r="O22" s="9"/>
      <c r="P22" s="9"/>
    </row>
    <row r="23" spans="1:16" x14ac:dyDescent="0.25">
      <c r="A23" s="20"/>
      <c r="B23" s="2" t="s">
        <v>24</v>
      </c>
      <c r="C23" s="2"/>
      <c r="D23" s="2"/>
      <c r="E23" s="3"/>
      <c r="F23" s="3" t="s">
        <v>5</v>
      </c>
      <c r="G23" s="3">
        <v>-1000</v>
      </c>
      <c r="H23" s="3"/>
      <c r="I23" s="3">
        <v>-1000</v>
      </c>
      <c r="J23" s="3"/>
      <c r="K23" s="9"/>
      <c r="L23" s="9"/>
      <c r="M23" s="9"/>
      <c r="N23" s="9"/>
      <c r="O23" s="9"/>
      <c r="P23" s="9"/>
    </row>
    <row r="24" spans="1:16" x14ac:dyDescent="0.25">
      <c r="A24" s="20"/>
      <c r="B24" s="2" t="s">
        <v>25</v>
      </c>
      <c r="C24" s="2"/>
      <c r="D24" s="2"/>
      <c r="E24" s="3"/>
      <c r="F24" s="3">
        <v>-2000</v>
      </c>
      <c r="G24" s="3" t="s">
        <v>5</v>
      </c>
      <c r="H24" s="3">
        <v>-2000</v>
      </c>
      <c r="I24" s="3"/>
      <c r="J24" s="3">
        <v>-2000</v>
      </c>
      <c r="K24" s="9"/>
      <c r="L24" s="9"/>
      <c r="M24" s="9"/>
      <c r="N24" s="9"/>
      <c r="O24" s="9"/>
      <c r="P24" s="9"/>
    </row>
    <row r="25" spans="1:16" x14ac:dyDescent="0.25">
      <c r="A25" s="20"/>
      <c r="B25" s="2" t="s">
        <v>26</v>
      </c>
      <c r="C25" s="2"/>
      <c r="D25" s="2"/>
      <c r="E25" s="3">
        <v>-250</v>
      </c>
      <c r="F25" s="3"/>
      <c r="G25" s="3">
        <v>-250</v>
      </c>
      <c r="H25" s="3" t="s">
        <v>5</v>
      </c>
      <c r="I25" s="3">
        <v>-250</v>
      </c>
      <c r="J25" s="3"/>
      <c r="K25" s="9"/>
      <c r="L25" s="9"/>
      <c r="M25" s="9"/>
      <c r="N25" s="9"/>
      <c r="O25" s="9"/>
      <c r="P25" s="9"/>
    </row>
    <row r="26" spans="1:16" x14ac:dyDescent="0.25">
      <c r="A26" s="20"/>
      <c r="B26" s="2"/>
      <c r="C26" s="10">
        <f>SUM(C22:C25)</f>
        <v>0</v>
      </c>
      <c r="D26" s="10">
        <f t="shared" ref="D26:J26" si="0">SUM(D22:D25)</f>
        <v>-5000</v>
      </c>
      <c r="E26" s="10">
        <f t="shared" si="0"/>
        <v>-250</v>
      </c>
      <c r="F26" s="10">
        <f t="shared" si="0"/>
        <v>-7000</v>
      </c>
      <c r="G26" s="10">
        <f t="shared" si="0"/>
        <v>-1250</v>
      </c>
      <c r="H26" s="10">
        <f t="shared" si="0"/>
        <v>-7000</v>
      </c>
      <c r="I26" s="10">
        <f t="shared" si="0"/>
        <v>-1250</v>
      </c>
      <c r="J26" s="10">
        <f t="shared" si="0"/>
        <v>-7000</v>
      </c>
      <c r="K26" s="9"/>
      <c r="L26" s="9"/>
      <c r="M26" s="9"/>
      <c r="N26" s="9"/>
      <c r="O26" s="9"/>
      <c r="P26" s="9"/>
    </row>
    <row r="27" spans="1:16" x14ac:dyDescent="0.25"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1:16" x14ac:dyDescent="0.25"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1:16" x14ac:dyDescent="0.25">
      <c r="B29" s="2" t="s">
        <v>27</v>
      </c>
      <c r="C29" s="3">
        <f>C17</f>
        <v>0</v>
      </c>
      <c r="D29" s="3">
        <f t="shared" ref="D29:J29" si="1">D17</f>
        <v>0</v>
      </c>
      <c r="E29" s="3">
        <f t="shared" si="1"/>
        <v>2000</v>
      </c>
      <c r="F29" s="3">
        <f t="shared" si="1"/>
        <v>6000</v>
      </c>
      <c r="G29" s="3">
        <f t="shared" si="1"/>
        <v>8000</v>
      </c>
      <c r="H29" s="3">
        <f t="shared" si="1"/>
        <v>12000</v>
      </c>
      <c r="I29" s="3">
        <f t="shared" si="1"/>
        <v>8000</v>
      </c>
      <c r="J29" s="3">
        <f t="shared" si="1"/>
        <v>12000</v>
      </c>
    </row>
    <row r="30" spans="1:16" x14ac:dyDescent="0.25">
      <c r="B30" s="2" t="s">
        <v>22</v>
      </c>
      <c r="C30" s="3"/>
      <c r="D30" s="3">
        <f>D26</f>
        <v>-5000</v>
      </c>
      <c r="E30" s="3">
        <f t="shared" ref="E30:J30" si="2">E26</f>
        <v>-250</v>
      </c>
      <c r="F30" s="3">
        <f t="shared" si="2"/>
        <v>-7000</v>
      </c>
      <c r="G30" s="3">
        <f t="shared" si="2"/>
        <v>-1250</v>
      </c>
      <c r="H30" s="3">
        <f t="shared" si="2"/>
        <v>-7000</v>
      </c>
      <c r="I30" s="3">
        <f t="shared" si="2"/>
        <v>-1250</v>
      </c>
      <c r="J30" s="3">
        <f t="shared" si="2"/>
        <v>-7000</v>
      </c>
    </row>
    <row r="31" spans="1:16" x14ac:dyDescent="0.25">
      <c r="B31" s="2" t="s">
        <v>28</v>
      </c>
      <c r="C31" s="3"/>
      <c r="D31" s="3">
        <f>D29+D30</f>
        <v>-5000</v>
      </c>
      <c r="E31" s="3">
        <f t="shared" ref="E31:J31" si="3">E29+E30</f>
        <v>1750</v>
      </c>
      <c r="F31" s="3">
        <f t="shared" si="3"/>
        <v>-1000</v>
      </c>
      <c r="G31" s="3">
        <f t="shared" si="3"/>
        <v>6750</v>
      </c>
      <c r="H31" s="3">
        <f t="shared" si="3"/>
        <v>5000</v>
      </c>
      <c r="I31" s="3">
        <f t="shared" si="3"/>
        <v>6750</v>
      </c>
      <c r="J31" s="3">
        <f t="shared" si="3"/>
        <v>5000</v>
      </c>
    </row>
    <row r="32" spans="1:16" x14ac:dyDescent="0.25">
      <c r="B32" s="2" t="s">
        <v>29</v>
      </c>
      <c r="C32" s="3">
        <v>0</v>
      </c>
      <c r="D32" s="3">
        <f>D31</f>
        <v>-5000</v>
      </c>
      <c r="E32" s="3">
        <f t="shared" ref="E32:J32" si="4">D32+E31</f>
        <v>-3250</v>
      </c>
      <c r="F32" s="28">
        <f t="shared" si="4"/>
        <v>-4250</v>
      </c>
      <c r="G32" s="3">
        <f t="shared" si="4"/>
        <v>2500</v>
      </c>
      <c r="H32" s="3">
        <f t="shared" si="4"/>
        <v>7500</v>
      </c>
      <c r="I32" s="3">
        <f t="shared" si="4"/>
        <v>14250</v>
      </c>
      <c r="J32" s="3">
        <f t="shared" si="4"/>
        <v>19250</v>
      </c>
      <c r="K32" s="11" t="s">
        <v>5</v>
      </c>
    </row>
    <row r="34" spans="2:4" x14ac:dyDescent="0.25">
      <c r="C34" s="8" t="s">
        <v>50</v>
      </c>
      <c r="D34" s="8" t="s">
        <v>58</v>
      </c>
    </row>
    <row r="35" spans="2:4" x14ac:dyDescent="0.25">
      <c r="B35" s="2" t="s">
        <v>32</v>
      </c>
      <c r="C35" s="3">
        <v>200000</v>
      </c>
      <c r="D35" s="3">
        <v>300000</v>
      </c>
    </row>
    <row r="36" spans="2:4" x14ac:dyDescent="0.25">
      <c r="B36" s="2" t="s">
        <v>51</v>
      </c>
      <c r="C36" s="3">
        <v>50000</v>
      </c>
      <c r="D36" s="3">
        <v>150000</v>
      </c>
    </row>
    <row r="37" spans="2:4" x14ac:dyDescent="0.25">
      <c r="B37" s="2" t="s">
        <v>52</v>
      </c>
      <c r="C37" s="3">
        <v>150000</v>
      </c>
      <c r="D37" s="3">
        <v>150000</v>
      </c>
    </row>
    <row r="38" spans="2:4" x14ac:dyDescent="0.25">
      <c r="B38" s="2" t="s">
        <v>53</v>
      </c>
      <c r="C38" s="3">
        <f>0.3*C35</f>
        <v>60000</v>
      </c>
      <c r="D38" s="3">
        <f>D35*0.7</f>
        <v>210000</v>
      </c>
    </row>
    <row r="39" spans="2:4" x14ac:dyDescent="0.25">
      <c r="B39" s="2" t="s">
        <v>54</v>
      </c>
      <c r="C39" s="3">
        <v>-90000</v>
      </c>
      <c r="D39" s="3">
        <f>D38-D37</f>
        <v>60000</v>
      </c>
    </row>
    <row r="40" spans="2:4" x14ac:dyDescent="0.25">
      <c r="B40" s="2" t="s">
        <v>46</v>
      </c>
      <c r="C40" s="3">
        <f>C39*0.15</f>
        <v>-13500</v>
      </c>
      <c r="D40" s="3">
        <f>D39*0.15</f>
        <v>9000</v>
      </c>
    </row>
    <row r="41" spans="2:4" x14ac:dyDescent="0.25">
      <c r="B41" s="2" t="s">
        <v>55</v>
      </c>
      <c r="C41" s="3">
        <f>C38-C40</f>
        <v>73500</v>
      </c>
      <c r="D41" s="3">
        <f>D38-D40</f>
        <v>201000</v>
      </c>
    </row>
    <row r="42" spans="2:4" x14ac:dyDescent="0.25">
      <c r="C42" s="9"/>
      <c r="D42" s="9"/>
    </row>
    <row r="43" spans="2:4" x14ac:dyDescent="0.25">
      <c r="C43" s="9"/>
      <c r="D43" s="9"/>
    </row>
    <row r="44" spans="2:4" x14ac:dyDescent="0.25">
      <c r="C44" s="9"/>
      <c r="D44" s="9"/>
    </row>
  </sheetData>
  <mergeCells count="12">
    <mergeCell ref="C3:D3"/>
    <mergeCell ref="E3:F3"/>
    <mergeCell ref="G3:H3"/>
    <mergeCell ref="I3:J3"/>
    <mergeCell ref="A5:A8"/>
    <mergeCell ref="A9:A12"/>
    <mergeCell ref="A13:A16"/>
    <mergeCell ref="C20:D20"/>
    <mergeCell ref="E20:F20"/>
    <mergeCell ref="G20:H20"/>
    <mergeCell ref="I20:J20"/>
    <mergeCell ref="A22:A26"/>
  </mergeCells>
  <pageMargins left="0.36" right="0.5" top="0.74803149606299213" bottom="0.74803149606299213" header="0.31496062992125984" footer="0.31496062992125984"/>
  <pageSetup paperSize="9" scale="77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tabSelected="1" topLeftCell="A59" zoomScale="150" zoomScaleNormal="150" workbookViewId="0">
      <selection activeCell="D83" sqref="D83"/>
    </sheetView>
  </sheetViews>
  <sheetFormatPr baseColWidth="10" defaultRowHeight="15" x14ac:dyDescent="0.25"/>
  <cols>
    <col min="1" max="1" width="14.42578125" customWidth="1"/>
    <col min="2" max="2" width="12.140625" customWidth="1"/>
    <col min="3" max="3" width="11.5703125" customWidth="1"/>
    <col min="4" max="4" width="10.5703125" customWidth="1"/>
  </cols>
  <sheetData>
    <row r="1" spans="1:7" x14ac:dyDescent="0.25">
      <c r="B1" s="1">
        <v>0</v>
      </c>
      <c r="C1" s="1">
        <v>1</v>
      </c>
      <c r="D1" s="1">
        <v>2</v>
      </c>
      <c r="E1" s="1">
        <v>3</v>
      </c>
      <c r="F1" s="1">
        <v>4</v>
      </c>
      <c r="G1" s="1">
        <v>5</v>
      </c>
    </row>
    <row r="2" spans="1:7" x14ac:dyDescent="0.25">
      <c r="A2" s="2" t="s">
        <v>34</v>
      </c>
      <c r="B2" s="3">
        <v>-100000</v>
      </c>
      <c r="C2" s="3"/>
      <c r="D2" s="3"/>
      <c r="E2" s="3"/>
      <c r="F2" s="3"/>
      <c r="G2" s="3"/>
    </row>
    <row r="3" spans="1:7" x14ac:dyDescent="0.25">
      <c r="A3" s="2" t="s">
        <v>37</v>
      </c>
      <c r="B3" s="3">
        <v>-200000</v>
      </c>
      <c r="C3" s="3"/>
      <c r="D3" s="3"/>
      <c r="E3" s="3"/>
      <c r="F3" s="3"/>
      <c r="G3" s="3"/>
    </row>
    <row r="4" spans="1:7" x14ac:dyDescent="0.25">
      <c r="A4" s="2" t="s">
        <v>38</v>
      </c>
      <c r="B4" s="3">
        <v>-300000</v>
      </c>
      <c r="C4" s="3"/>
      <c r="D4" s="3"/>
      <c r="E4" s="3"/>
      <c r="F4" s="3"/>
      <c r="G4" s="3"/>
    </row>
    <row r="5" spans="1:7" x14ac:dyDescent="0.25">
      <c r="A5" s="2" t="s">
        <v>59</v>
      </c>
      <c r="B5" s="3">
        <f>Hoja2!F32</f>
        <v>-4250</v>
      </c>
      <c r="C5" s="3"/>
      <c r="D5" s="3"/>
      <c r="E5" s="3"/>
      <c r="F5" s="3"/>
      <c r="G5" s="3"/>
    </row>
    <row r="6" spans="1:7" x14ac:dyDescent="0.25">
      <c r="A6" s="2" t="s">
        <v>81</v>
      </c>
      <c r="B6" s="3"/>
      <c r="C6" s="3">
        <v>12000</v>
      </c>
      <c r="D6" s="3">
        <v>12000</v>
      </c>
      <c r="E6" s="3">
        <v>16000</v>
      </c>
      <c r="F6" s="3">
        <v>16000</v>
      </c>
      <c r="G6" s="3">
        <v>20000</v>
      </c>
    </row>
    <row r="7" spans="1:7" x14ac:dyDescent="0.25">
      <c r="A7" s="2" t="s">
        <v>82</v>
      </c>
      <c r="B7" s="3"/>
      <c r="C7" s="3">
        <v>20</v>
      </c>
      <c r="D7" s="3">
        <v>20</v>
      </c>
      <c r="E7" s="3">
        <v>20</v>
      </c>
      <c r="F7" s="3">
        <v>25</v>
      </c>
      <c r="G7" s="3">
        <v>25</v>
      </c>
    </row>
    <row r="8" spans="1:7" x14ac:dyDescent="0.25">
      <c r="A8" s="13" t="s">
        <v>39</v>
      </c>
      <c r="B8" s="3"/>
      <c r="C8" s="14">
        <f>C7*C6</f>
        <v>240000</v>
      </c>
      <c r="D8" s="14">
        <f t="shared" ref="D8:G8" si="0">D7*D6</f>
        <v>240000</v>
      </c>
      <c r="E8" s="14">
        <f t="shared" si="0"/>
        <v>320000</v>
      </c>
      <c r="F8" s="14">
        <f t="shared" si="0"/>
        <v>400000</v>
      </c>
      <c r="G8" s="14">
        <f t="shared" si="0"/>
        <v>500000</v>
      </c>
    </row>
    <row r="9" spans="1:7" x14ac:dyDescent="0.25">
      <c r="A9" s="2" t="s">
        <v>24</v>
      </c>
      <c r="B9" s="3"/>
      <c r="C9" s="3">
        <f>-2*C6</f>
        <v>-24000</v>
      </c>
      <c r="D9" s="3">
        <f t="shared" ref="D9:G9" si="1">-2*D6</f>
        <v>-24000</v>
      </c>
      <c r="E9" s="3">
        <f t="shared" si="1"/>
        <v>-32000</v>
      </c>
      <c r="F9" s="3">
        <f t="shared" si="1"/>
        <v>-32000</v>
      </c>
      <c r="G9" s="3">
        <f t="shared" si="1"/>
        <v>-40000</v>
      </c>
    </row>
    <row r="10" spans="1:7" x14ac:dyDescent="0.25">
      <c r="A10" s="2" t="s">
        <v>25</v>
      </c>
      <c r="B10" s="3"/>
      <c r="C10" s="3">
        <f>-4*C6</f>
        <v>-48000</v>
      </c>
      <c r="D10" s="3">
        <f t="shared" ref="D10:G10" si="2">-4*D6</f>
        <v>-48000</v>
      </c>
      <c r="E10" s="3">
        <f t="shared" si="2"/>
        <v>-64000</v>
      </c>
      <c r="F10" s="3">
        <f t="shared" si="2"/>
        <v>-64000</v>
      </c>
      <c r="G10" s="3">
        <f t="shared" si="2"/>
        <v>-80000</v>
      </c>
    </row>
    <row r="11" spans="1:7" x14ac:dyDescent="0.25">
      <c r="A11" s="2" t="s">
        <v>30</v>
      </c>
      <c r="B11" s="3" t="s">
        <v>5</v>
      </c>
      <c r="C11" s="3">
        <f>-0.5*C6</f>
        <v>-6000</v>
      </c>
      <c r="D11" s="3">
        <f t="shared" ref="D11:G11" si="3">-0.5*D6</f>
        <v>-6000</v>
      </c>
      <c r="E11" s="3">
        <f t="shared" si="3"/>
        <v>-8000</v>
      </c>
      <c r="F11" s="3">
        <f t="shared" si="3"/>
        <v>-8000</v>
      </c>
      <c r="G11" s="3">
        <f t="shared" si="3"/>
        <v>-10000</v>
      </c>
    </row>
    <row r="12" spans="1:7" x14ac:dyDescent="0.25">
      <c r="A12" s="2" t="s">
        <v>40</v>
      </c>
      <c r="B12" s="3"/>
      <c r="C12" s="3">
        <f>-5000*12</f>
        <v>-60000</v>
      </c>
      <c r="D12" s="3">
        <f t="shared" ref="D12:G12" si="4">-5000*12</f>
        <v>-60000</v>
      </c>
      <c r="E12" s="3">
        <f t="shared" si="4"/>
        <v>-60000</v>
      </c>
      <c r="F12" s="3">
        <f t="shared" si="4"/>
        <v>-60000</v>
      </c>
      <c r="G12" s="3">
        <f t="shared" si="4"/>
        <v>-60000</v>
      </c>
    </row>
    <row r="13" spans="1:7" x14ac:dyDescent="0.25">
      <c r="A13" s="2" t="s">
        <v>41</v>
      </c>
      <c r="B13" s="3"/>
      <c r="C13" s="3">
        <f>B3/20</f>
        <v>-10000</v>
      </c>
      <c r="D13" s="3">
        <v>-10000</v>
      </c>
      <c r="E13" s="3">
        <v>-10000</v>
      </c>
      <c r="F13" s="3">
        <v>-10000</v>
      </c>
      <c r="G13" s="3">
        <v>-10000</v>
      </c>
    </row>
    <row r="14" spans="1:7" x14ac:dyDescent="0.25">
      <c r="A14" s="2" t="s">
        <v>42</v>
      </c>
      <c r="B14" s="3"/>
      <c r="C14" s="3">
        <f>B4/10</f>
        <v>-30000</v>
      </c>
      <c r="D14" s="3">
        <v>-30000</v>
      </c>
      <c r="E14" s="3">
        <v>-30000</v>
      </c>
      <c r="F14" s="3">
        <v>-30000</v>
      </c>
      <c r="G14" s="3">
        <v>-30000</v>
      </c>
    </row>
    <row r="15" spans="1:7" x14ac:dyDescent="0.25">
      <c r="A15" s="13" t="s">
        <v>45</v>
      </c>
      <c r="B15" s="14"/>
      <c r="C15" s="14">
        <f>SUM(C8:C14)</f>
        <v>62000</v>
      </c>
      <c r="D15" s="14">
        <f t="shared" ref="D15:G15" si="5">SUM(D8:D14)</f>
        <v>62000</v>
      </c>
      <c r="E15" s="14">
        <f t="shared" si="5"/>
        <v>116000</v>
      </c>
      <c r="F15" s="14">
        <f t="shared" si="5"/>
        <v>196000</v>
      </c>
      <c r="G15" s="14">
        <f t="shared" si="5"/>
        <v>270000</v>
      </c>
    </row>
    <row r="16" spans="1:7" x14ac:dyDescent="0.25">
      <c r="A16" s="2" t="s">
        <v>43</v>
      </c>
      <c r="B16" s="3"/>
      <c r="C16" s="3">
        <v>0</v>
      </c>
      <c r="D16" s="3">
        <v>0</v>
      </c>
      <c r="E16" s="3">
        <v>0</v>
      </c>
      <c r="F16" s="3">
        <v>0</v>
      </c>
      <c r="G16" s="3">
        <v>0</v>
      </c>
    </row>
    <row r="17" spans="1:7" x14ac:dyDescent="0.25">
      <c r="A17" s="13" t="s">
        <v>44</v>
      </c>
      <c r="B17" s="14"/>
      <c r="C17" s="14">
        <f>C16+C15</f>
        <v>62000</v>
      </c>
      <c r="D17" s="14">
        <f>D16+D15</f>
        <v>62000</v>
      </c>
      <c r="E17" s="14">
        <f>E16+E15</f>
        <v>116000</v>
      </c>
      <c r="F17" s="14">
        <f>F16+F15</f>
        <v>196000</v>
      </c>
      <c r="G17" s="14">
        <f>G16+G15</f>
        <v>270000</v>
      </c>
    </row>
    <row r="18" spans="1:7" x14ac:dyDescent="0.25">
      <c r="A18" s="2" t="s">
        <v>46</v>
      </c>
      <c r="B18" s="3"/>
      <c r="C18" s="3">
        <f>-0.15*C17</f>
        <v>-9300</v>
      </c>
      <c r="D18" s="3">
        <f>-0.15*D17</f>
        <v>-9300</v>
      </c>
      <c r="E18" s="3">
        <f>-0.15*E17</f>
        <v>-17400</v>
      </c>
      <c r="F18" s="3">
        <f>-0.15*F17</f>
        <v>-29400</v>
      </c>
      <c r="G18" s="3">
        <f>-0.15*G17</f>
        <v>-40500</v>
      </c>
    </row>
    <row r="19" spans="1:7" x14ac:dyDescent="0.25">
      <c r="A19" s="13" t="s">
        <v>47</v>
      </c>
      <c r="B19" s="14"/>
      <c r="C19" s="14">
        <f>C18+C17</f>
        <v>52700</v>
      </c>
      <c r="D19" s="14">
        <f>D18+D17</f>
        <v>52700</v>
      </c>
      <c r="E19" s="14">
        <f>E18+E17</f>
        <v>98600</v>
      </c>
      <c r="F19" s="14">
        <f>F18+F17</f>
        <v>166600</v>
      </c>
      <c r="G19" s="14">
        <f>G18+G17</f>
        <v>229500</v>
      </c>
    </row>
    <row r="20" spans="1:7" x14ac:dyDescent="0.25">
      <c r="A20" s="2" t="s">
        <v>83</v>
      </c>
      <c r="B20" s="3" t="s">
        <v>5</v>
      </c>
      <c r="C20" s="3" t="s">
        <v>5</v>
      </c>
      <c r="D20" s="3" t="s">
        <v>5</v>
      </c>
      <c r="E20" s="3" t="s">
        <v>5</v>
      </c>
      <c r="F20" s="3" t="s">
        <v>5</v>
      </c>
      <c r="G20" s="3" t="s">
        <v>5</v>
      </c>
    </row>
    <row r="21" spans="1:7" x14ac:dyDescent="0.25">
      <c r="A21" s="2" t="s">
        <v>41</v>
      </c>
      <c r="B21" s="3"/>
      <c r="C21" s="3">
        <v>10000</v>
      </c>
      <c r="D21" s="3">
        <v>10000</v>
      </c>
      <c r="E21" s="3">
        <v>10000</v>
      </c>
      <c r="F21" s="3">
        <v>10000</v>
      </c>
      <c r="G21" s="3">
        <v>10000</v>
      </c>
    </row>
    <row r="22" spans="1:7" x14ac:dyDescent="0.25">
      <c r="A22" s="2" t="s">
        <v>42</v>
      </c>
      <c r="B22" s="3"/>
      <c r="C22" s="3">
        <v>30000</v>
      </c>
      <c r="D22" s="3">
        <v>30000</v>
      </c>
      <c r="E22" s="3">
        <v>30000</v>
      </c>
      <c r="F22" s="3">
        <v>30000</v>
      </c>
      <c r="G22" s="3">
        <v>30000</v>
      </c>
    </row>
    <row r="23" spans="1:7" x14ac:dyDescent="0.25">
      <c r="A23" s="2" t="s">
        <v>85</v>
      </c>
      <c r="B23" s="3"/>
      <c r="C23" s="3"/>
      <c r="D23" s="3">
        <f>(4000*B5)/D6</f>
        <v>-1416.6666666666667</v>
      </c>
      <c r="E23" s="3"/>
      <c r="F23" s="3">
        <f>((D23+B5)*4000)/F6</f>
        <v>-1416.6666666666667</v>
      </c>
      <c r="G23" s="3" t="s">
        <v>5</v>
      </c>
    </row>
    <row r="24" spans="1:7" x14ac:dyDescent="0.25">
      <c r="A24" s="29" t="s">
        <v>56</v>
      </c>
      <c r="B24" s="3"/>
      <c r="C24" s="3"/>
      <c r="D24" s="3"/>
      <c r="E24" s="3"/>
      <c r="F24" s="3"/>
      <c r="G24" s="3">
        <v>73500</v>
      </c>
    </row>
    <row r="25" spans="1:7" x14ac:dyDescent="0.25">
      <c r="A25" s="29" t="s">
        <v>57</v>
      </c>
      <c r="B25" s="3"/>
      <c r="C25" s="3"/>
      <c r="D25" s="3"/>
      <c r="E25" s="3"/>
      <c r="F25" s="3"/>
      <c r="G25" s="3">
        <v>201000</v>
      </c>
    </row>
    <row r="26" spans="1:7" x14ac:dyDescent="0.25">
      <c r="A26" s="29" t="s">
        <v>34</v>
      </c>
      <c r="B26" s="3"/>
      <c r="C26" s="3"/>
      <c r="D26" s="3"/>
      <c r="E26" s="3"/>
      <c r="F26" s="3"/>
      <c r="G26" s="3">
        <v>100000</v>
      </c>
    </row>
    <row r="27" spans="1:7" x14ac:dyDescent="0.25">
      <c r="A27" s="29" t="s">
        <v>84</v>
      </c>
      <c r="B27" s="3"/>
      <c r="C27" s="3"/>
      <c r="D27" s="3"/>
      <c r="E27" s="3"/>
      <c r="F27" s="3"/>
      <c r="G27" s="3">
        <v>7084</v>
      </c>
    </row>
    <row r="28" spans="1:7" x14ac:dyDescent="0.25">
      <c r="A28" s="13" t="s">
        <v>49</v>
      </c>
      <c r="B28" s="14">
        <f>SUM(B2:B8)</f>
        <v>-604250</v>
      </c>
      <c r="C28" s="14">
        <f>SUM(C19:C27)</f>
        <v>92700</v>
      </c>
      <c r="D28" s="14">
        <f>SUM(D19:D27)</f>
        <v>91283.333333333328</v>
      </c>
      <c r="E28" s="14">
        <f>SUM(E19:E27)</f>
        <v>138600</v>
      </c>
      <c r="F28" s="14">
        <f>SUM(F19:F27)</f>
        <v>205183.33333333334</v>
      </c>
      <c r="G28" s="14">
        <f>SUM(G19:G27)</f>
        <v>651084</v>
      </c>
    </row>
    <row r="29" spans="1:7" x14ac:dyDescent="0.25">
      <c r="B29" s="9"/>
      <c r="C29" s="9"/>
      <c r="D29" s="9"/>
      <c r="E29" s="9"/>
      <c r="F29" s="9"/>
      <c r="G29" s="9"/>
    </row>
    <row r="30" spans="1:7" x14ac:dyDescent="0.25">
      <c r="A30" s="15" t="s">
        <v>60</v>
      </c>
      <c r="B30" s="5">
        <v>0.14000000000000001</v>
      </c>
      <c r="C30" s="9"/>
      <c r="D30" s="9"/>
      <c r="E30" s="9"/>
      <c r="F30" s="9"/>
      <c r="G30" s="9"/>
    </row>
    <row r="31" spans="1:7" x14ac:dyDescent="0.25">
      <c r="A31" s="15" t="s">
        <v>61</v>
      </c>
      <c r="B31" s="30">
        <f>NPV(B30,C28,D28,E28,F28,G28)+B28</f>
        <v>100494.03488759999</v>
      </c>
      <c r="C31" s="9"/>
      <c r="D31" s="9"/>
      <c r="E31" s="9"/>
      <c r="F31" s="9"/>
      <c r="G31" s="9"/>
    </row>
    <row r="32" spans="1:7" x14ac:dyDescent="0.25">
      <c r="B32" s="9"/>
      <c r="C32" s="9"/>
      <c r="D32" s="9"/>
      <c r="E32" s="9"/>
      <c r="F32" s="9"/>
      <c r="G32" s="9"/>
    </row>
    <row r="33" spans="1:7" x14ac:dyDescent="0.25">
      <c r="B33" s="9"/>
      <c r="C33" s="9"/>
      <c r="D33" s="9"/>
      <c r="E33" s="9"/>
      <c r="F33" s="9"/>
      <c r="G33" s="9"/>
    </row>
    <row r="34" spans="1:7" x14ac:dyDescent="0.25">
      <c r="B34" s="1">
        <v>0</v>
      </c>
      <c r="C34" s="1">
        <v>1</v>
      </c>
      <c r="D34" s="1">
        <v>2</v>
      </c>
      <c r="E34" s="1">
        <v>3</v>
      </c>
      <c r="F34" s="1">
        <v>4</v>
      </c>
      <c r="G34" s="1">
        <v>5</v>
      </c>
    </row>
    <row r="35" spans="1:7" x14ac:dyDescent="0.25">
      <c r="A35" s="2" t="s">
        <v>34</v>
      </c>
      <c r="B35" s="3">
        <v>-100000</v>
      </c>
      <c r="C35" s="3"/>
      <c r="D35" s="3"/>
      <c r="E35" s="3"/>
      <c r="F35" s="3"/>
      <c r="G35" s="3"/>
    </row>
    <row r="36" spans="1:7" x14ac:dyDescent="0.25">
      <c r="A36" s="2" t="s">
        <v>37</v>
      </c>
      <c r="B36" s="3">
        <v>-200000</v>
      </c>
      <c r="C36" s="3"/>
      <c r="D36" s="3"/>
      <c r="E36" s="3"/>
      <c r="F36" s="3"/>
      <c r="G36" s="3"/>
    </row>
    <row r="37" spans="1:7" x14ac:dyDescent="0.25">
      <c r="A37" s="2" t="s">
        <v>38</v>
      </c>
      <c r="B37" s="3">
        <v>-300000</v>
      </c>
      <c r="C37" s="3"/>
      <c r="D37" s="3"/>
      <c r="E37" s="3"/>
      <c r="F37" s="3"/>
      <c r="G37" s="3"/>
    </row>
    <row r="38" spans="1:7" x14ac:dyDescent="0.25">
      <c r="A38" s="2" t="s">
        <v>59</v>
      </c>
      <c r="B38" s="3">
        <v>-4250</v>
      </c>
      <c r="C38" s="3"/>
      <c r="D38" s="3"/>
      <c r="E38" s="3"/>
      <c r="F38" s="3"/>
      <c r="G38" s="3"/>
    </row>
    <row r="39" spans="1:7" x14ac:dyDescent="0.25">
      <c r="A39" s="2" t="s">
        <v>81</v>
      </c>
      <c r="B39" s="3"/>
      <c r="C39" s="3">
        <v>12000</v>
      </c>
      <c r="D39" s="3">
        <v>12000</v>
      </c>
      <c r="E39" s="3">
        <v>16000</v>
      </c>
      <c r="F39" s="3">
        <v>16000</v>
      </c>
      <c r="G39" s="3">
        <v>20000</v>
      </c>
    </row>
    <row r="40" spans="1:7" x14ac:dyDescent="0.25">
      <c r="A40" s="2" t="s">
        <v>82</v>
      </c>
      <c r="B40" s="3"/>
      <c r="C40" s="3">
        <v>20</v>
      </c>
      <c r="D40" s="3">
        <v>20</v>
      </c>
      <c r="E40" s="3">
        <v>20</v>
      </c>
      <c r="F40" s="3">
        <v>25</v>
      </c>
      <c r="G40" s="3">
        <v>25</v>
      </c>
    </row>
    <row r="41" spans="1:7" x14ac:dyDescent="0.25">
      <c r="A41" s="13" t="s">
        <v>39</v>
      </c>
      <c r="B41" s="3"/>
      <c r="C41" s="14">
        <f>C40*C39</f>
        <v>240000</v>
      </c>
      <c r="D41" s="14">
        <f t="shared" ref="D41" si="6">D40*D39</f>
        <v>240000</v>
      </c>
      <c r="E41" s="14">
        <f t="shared" ref="E41" si="7">E40*E39</f>
        <v>320000</v>
      </c>
      <c r="F41" s="14">
        <f t="shared" ref="F41" si="8">F40*F39</f>
        <v>400000</v>
      </c>
      <c r="G41" s="14">
        <f t="shared" ref="G41" si="9">G40*G39</f>
        <v>500000</v>
      </c>
    </row>
    <row r="42" spans="1:7" x14ac:dyDescent="0.25">
      <c r="A42" s="2" t="s">
        <v>24</v>
      </c>
      <c r="B42" s="3"/>
      <c r="C42" s="3">
        <f>-2*C39</f>
        <v>-24000</v>
      </c>
      <c r="D42" s="3">
        <f t="shared" ref="D42:G42" si="10">-2*D39</f>
        <v>-24000</v>
      </c>
      <c r="E42" s="3">
        <f t="shared" si="10"/>
        <v>-32000</v>
      </c>
      <c r="F42" s="3">
        <f t="shared" si="10"/>
        <v>-32000</v>
      </c>
      <c r="G42" s="3">
        <f t="shared" si="10"/>
        <v>-40000</v>
      </c>
    </row>
    <row r="43" spans="1:7" x14ac:dyDescent="0.25">
      <c r="A43" s="2" t="s">
        <v>25</v>
      </c>
      <c r="B43" s="3"/>
      <c r="C43" s="3">
        <f>-4*C39</f>
        <v>-48000</v>
      </c>
      <c r="D43" s="3">
        <f t="shared" ref="D43:G43" si="11">-4*D39</f>
        <v>-48000</v>
      </c>
      <c r="E43" s="3">
        <f t="shared" si="11"/>
        <v>-64000</v>
      </c>
      <c r="F43" s="3">
        <f t="shared" si="11"/>
        <v>-64000</v>
      </c>
      <c r="G43" s="3">
        <f t="shared" si="11"/>
        <v>-80000</v>
      </c>
    </row>
    <row r="44" spans="1:7" x14ac:dyDescent="0.25">
      <c r="A44" s="2" t="s">
        <v>30</v>
      </c>
      <c r="B44" s="3" t="s">
        <v>5</v>
      </c>
      <c r="C44" s="3">
        <f>-0.5*C39</f>
        <v>-6000</v>
      </c>
      <c r="D44" s="3">
        <f t="shared" ref="D44:G44" si="12">-0.5*D39</f>
        <v>-6000</v>
      </c>
      <c r="E44" s="3">
        <f t="shared" si="12"/>
        <v>-8000</v>
      </c>
      <c r="F44" s="3">
        <f t="shared" si="12"/>
        <v>-8000</v>
      </c>
      <c r="G44" s="3">
        <f t="shared" si="12"/>
        <v>-10000</v>
      </c>
    </row>
    <row r="45" spans="1:7" x14ac:dyDescent="0.25">
      <c r="A45" s="2" t="s">
        <v>40</v>
      </c>
      <c r="B45" s="3"/>
      <c r="C45" s="3">
        <f>-5000*12</f>
        <v>-60000</v>
      </c>
      <c r="D45" s="3">
        <f t="shared" ref="D45:G45" si="13">-5000*12</f>
        <v>-60000</v>
      </c>
      <c r="E45" s="3">
        <f t="shared" si="13"/>
        <v>-60000</v>
      </c>
      <c r="F45" s="3">
        <f t="shared" si="13"/>
        <v>-60000</v>
      </c>
      <c r="G45" s="3">
        <f t="shared" si="13"/>
        <v>-60000</v>
      </c>
    </row>
    <row r="46" spans="1:7" x14ac:dyDescent="0.25">
      <c r="A46" s="2" t="s">
        <v>41</v>
      </c>
      <c r="B46" s="3"/>
      <c r="C46" s="3">
        <f>B36/20</f>
        <v>-10000</v>
      </c>
      <c r="D46" s="3">
        <v>-10000</v>
      </c>
      <c r="E46" s="3">
        <v>-10000</v>
      </c>
      <c r="F46" s="3">
        <v>-10000</v>
      </c>
      <c r="G46" s="3">
        <v>-10000</v>
      </c>
    </row>
    <row r="47" spans="1:7" x14ac:dyDescent="0.25">
      <c r="A47" s="2" t="s">
        <v>42</v>
      </c>
      <c r="B47" s="3"/>
      <c r="C47" s="3">
        <f>B37/10</f>
        <v>-30000</v>
      </c>
      <c r="D47" s="3">
        <v>-30000</v>
      </c>
      <c r="E47" s="3">
        <v>-30000</v>
      </c>
      <c r="F47" s="3">
        <v>-30000</v>
      </c>
      <c r="G47" s="3">
        <v>-30000</v>
      </c>
    </row>
    <row r="48" spans="1:7" x14ac:dyDescent="0.25">
      <c r="A48" s="13" t="s">
        <v>45</v>
      </c>
      <c r="B48" s="14"/>
      <c r="C48" s="14">
        <f>SUM(C41:C47)</f>
        <v>62000</v>
      </c>
      <c r="D48" s="14">
        <f t="shared" ref="D48" si="14">SUM(D41:D47)</f>
        <v>62000</v>
      </c>
      <c r="E48" s="14">
        <f t="shared" ref="E48" si="15">SUM(E41:E47)</f>
        <v>116000</v>
      </c>
      <c r="F48" s="14">
        <f t="shared" ref="F48" si="16">SUM(F41:F47)</f>
        <v>196000</v>
      </c>
      <c r="G48" s="14">
        <f t="shared" ref="G48" si="17">SUM(G41:G47)</f>
        <v>270000</v>
      </c>
    </row>
    <row r="49" spans="1:7" x14ac:dyDescent="0.25">
      <c r="A49" s="2" t="s">
        <v>43</v>
      </c>
      <c r="B49" s="3"/>
      <c r="C49" s="3">
        <f>-C74</f>
        <v>-8000</v>
      </c>
      <c r="D49" s="3">
        <f t="shared" ref="D49:G49" si="18">-D74</f>
        <v>-6636.32</v>
      </c>
      <c r="E49" s="3">
        <f t="shared" si="18"/>
        <v>-5163.5456000000004</v>
      </c>
      <c r="F49" s="3">
        <f t="shared" si="18"/>
        <v>-3572.9492480000004</v>
      </c>
      <c r="G49" s="3">
        <f t="shared" si="18"/>
        <v>-1855.1051878400006</v>
      </c>
    </row>
    <row r="50" spans="1:7" x14ac:dyDescent="0.25">
      <c r="A50" s="13" t="s">
        <v>44</v>
      </c>
      <c r="B50" s="14"/>
      <c r="C50" s="14">
        <f>C49+C48</f>
        <v>54000</v>
      </c>
      <c r="D50" s="14">
        <f>D49+D48</f>
        <v>55363.68</v>
      </c>
      <c r="E50" s="14">
        <f>E49+E48</f>
        <v>110836.4544</v>
      </c>
      <c r="F50" s="14">
        <f>F49+F48</f>
        <v>192427.05075200001</v>
      </c>
      <c r="G50" s="14">
        <f>G49+G48</f>
        <v>268144.89481216</v>
      </c>
    </row>
    <row r="51" spans="1:7" x14ac:dyDescent="0.25">
      <c r="A51" s="2" t="s">
        <v>46</v>
      </c>
      <c r="B51" s="3"/>
      <c r="C51" s="3">
        <f>-0.15*C50</f>
        <v>-8100</v>
      </c>
      <c r="D51" s="3">
        <f>-0.15*D50</f>
        <v>-8304.5519999999997</v>
      </c>
      <c r="E51" s="3">
        <f>-0.15*E50</f>
        <v>-16625.46816</v>
      </c>
      <c r="F51" s="3">
        <f>-0.15*F50</f>
        <v>-28864.057612799999</v>
      </c>
      <c r="G51" s="3">
        <f>-0.15*G50</f>
        <v>-40221.734221824001</v>
      </c>
    </row>
    <row r="52" spans="1:7" x14ac:dyDescent="0.25">
      <c r="A52" s="13" t="s">
        <v>47</v>
      </c>
      <c r="B52" s="14"/>
      <c r="C52" s="14">
        <f>C51+C50</f>
        <v>45900</v>
      </c>
      <c r="D52" s="14">
        <f>D51+D50</f>
        <v>47059.127999999997</v>
      </c>
      <c r="E52" s="14">
        <f>E51+E50</f>
        <v>94210.986239999998</v>
      </c>
      <c r="F52" s="14">
        <f>F51+F50</f>
        <v>163562.9931392</v>
      </c>
      <c r="G52" s="14">
        <f>G51+G50</f>
        <v>227923.16059033599</v>
      </c>
    </row>
    <row r="53" spans="1:7" x14ac:dyDescent="0.25">
      <c r="A53" s="2" t="s">
        <v>83</v>
      </c>
      <c r="B53" s="3">
        <v>100000</v>
      </c>
      <c r="C53" s="3">
        <f>-C75</f>
        <v>-17046</v>
      </c>
      <c r="D53" s="3">
        <f t="shared" ref="D53:G53" si="19">-D75</f>
        <v>-18409.68</v>
      </c>
      <c r="E53" s="3">
        <f t="shared" si="19"/>
        <v>-19882.454399999999</v>
      </c>
      <c r="F53" s="3">
        <f t="shared" si="19"/>
        <v>-21473.050751999999</v>
      </c>
      <c r="G53" s="3">
        <f t="shared" si="19"/>
        <v>-23190.894812160001</v>
      </c>
    </row>
    <row r="54" spans="1:7" x14ac:dyDescent="0.25">
      <c r="A54" s="2" t="s">
        <v>41</v>
      </c>
      <c r="B54" s="3"/>
      <c r="C54" s="3">
        <v>10000</v>
      </c>
      <c r="D54" s="3">
        <v>10000</v>
      </c>
      <c r="E54" s="3">
        <v>10000</v>
      </c>
      <c r="F54" s="3">
        <v>10000</v>
      </c>
      <c r="G54" s="3">
        <v>10000</v>
      </c>
    </row>
    <row r="55" spans="1:7" x14ac:dyDescent="0.25">
      <c r="A55" s="2" t="s">
        <v>42</v>
      </c>
      <c r="B55" s="3"/>
      <c r="C55" s="3">
        <v>30000</v>
      </c>
      <c r="D55" s="3">
        <v>30000</v>
      </c>
      <c r="E55" s="3">
        <v>30000</v>
      </c>
      <c r="F55" s="3">
        <v>30000</v>
      </c>
      <c r="G55" s="3">
        <v>30000</v>
      </c>
    </row>
    <row r="56" spans="1:7" x14ac:dyDescent="0.25">
      <c r="A56" s="2" t="s">
        <v>85</v>
      </c>
      <c r="B56" s="3"/>
      <c r="C56" s="3"/>
      <c r="D56" s="3">
        <v>-1417</v>
      </c>
      <c r="E56" s="3"/>
      <c r="F56" s="3">
        <v>-1417</v>
      </c>
      <c r="G56" s="3" t="s">
        <v>5</v>
      </c>
    </row>
    <row r="57" spans="1:7" x14ac:dyDescent="0.25">
      <c r="A57" s="29" t="s">
        <v>56</v>
      </c>
      <c r="B57" s="3"/>
      <c r="C57" s="3"/>
      <c r="D57" s="3"/>
      <c r="E57" s="3"/>
      <c r="F57" s="3"/>
      <c r="G57" s="3">
        <v>73500</v>
      </c>
    </row>
    <row r="58" spans="1:7" x14ac:dyDescent="0.25">
      <c r="A58" s="29" t="s">
        <v>57</v>
      </c>
      <c r="B58" s="3"/>
      <c r="C58" s="3"/>
      <c r="D58" s="3"/>
      <c r="E58" s="3"/>
      <c r="F58" s="3"/>
      <c r="G58" s="3">
        <v>201000</v>
      </c>
    </row>
    <row r="59" spans="1:7" x14ac:dyDescent="0.25">
      <c r="A59" s="29" t="s">
        <v>34</v>
      </c>
      <c r="B59" s="3"/>
      <c r="C59" s="3"/>
      <c r="D59" s="3"/>
      <c r="E59" s="3"/>
      <c r="F59" s="3"/>
      <c r="G59" s="3">
        <v>100000</v>
      </c>
    </row>
    <row r="60" spans="1:7" x14ac:dyDescent="0.25">
      <c r="A60" s="29" t="s">
        <v>84</v>
      </c>
      <c r="B60" s="3"/>
      <c r="C60" s="3"/>
      <c r="D60" s="3"/>
      <c r="E60" s="3"/>
      <c r="F60" s="3"/>
      <c r="G60" s="3">
        <v>7084</v>
      </c>
    </row>
    <row r="61" spans="1:7" x14ac:dyDescent="0.25">
      <c r="A61" s="13" t="s">
        <v>49</v>
      </c>
      <c r="B61" s="14">
        <f>SUM(B35:B41)+B53</f>
        <v>-504250</v>
      </c>
      <c r="C61" s="14">
        <f>SUM(C52:C60)</f>
        <v>68854</v>
      </c>
      <c r="D61" s="14">
        <f>SUM(D52:D60)</f>
        <v>67232.448000000004</v>
      </c>
      <c r="E61" s="14">
        <f>SUM(E52:E60)</f>
        <v>114328.53184</v>
      </c>
      <c r="F61" s="14">
        <f>SUM(F52:F60)</f>
        <v>180672.94238719999</v>
      </c>
      <c r="G61" s="14">
        <f>SUM(G52:G60)</f>
        <v>626316.26577817602</v>
      </c>
    </row>
    <row r="62" spans="1:7" x14ac:dyDescent="0.25">
      <c r="B62" s="9"/>
      <c r="C62" s="9"/>
      <c r="D62" s="9"/>
      <c r="E62" s="9"/>
      <c r="F62" s="9"/>
      <c r="G62" s="9"/>
    </row>
    <row r="63" spans="1:7" x14ac:dyDescent="0.25">
      <c r="A63" s="15" t="s">
        <v>60</v>
      </c>
      <c r="B63" s="5">
        <v>0.14000000000000001</v>
      </c>
      <c r="C63" s="9"/>
      <c r="D63" s="9"/>
      <c r="E63" s="9"/>
      <c r="F63" s="9"/>
      <c r="G63" s="9"/>
    </row>
    <row r="64" spans="1:7" x14ac:dyDescent="0.25">
      <c r="A64" s="15" t="s">
        <v>61</v>
      </c>
      <c r="B64" s="30">
        <f>NPV(B63,C61,D61,E61,F61,G61)+B61</f>
        <v>117311.86195673817</v>
      </c>
      <c r="C64" s="9"/>
      <c r="D64" s="9"/>
      <c r="E64" s="9"/>
      <c r="F64" s="9"/>
      <c r="G64" s="9"/>
    </row>
    <row r="65" spans="1:8" x14ac:dyDescent="0.25">
      <c r="A65" s="31"/>
      <c r="B65" s="32"/>
      <c r="C65" s="9"/>
      <c r="D65" s="9"/>
      <c r="E65" s="9"/>
      <c r="F65" s="9"/>
      <c r="G65" s="9"/>
    </row>
    <row r="66" spans="1:8" x14ac:dyDescent="0.25">
      <c r="A66" s="31"/>
      <c r="B66" s="32"/>
      <c r="C66" s="9"/>
      <c r="D66" s="9"/>
      <c r="E66" s="9"/>
      <c r="F66" s="9"/>
      <c r="G66" s="9"/>
    </row>
    <row r="67" spans="1:8" x14ac:dyDescent="0.25">
      <c r="A67" s="13" t="s">
        <v>86</v>
      </c>
    </row>
    <row r="68" spans="1:8" x14ac:dyDescent="0.25">
      <c r="A68" s="17"/>
    </row>
    <row r="69" spans="1:8" x14ac:dyDescent="0.25">
      <c r="A69" s="29">
        <v>1.08</v>
      </c>
      <c r="B69" s="29">
        <v>5</v>
      </c>
      <c r="C69" s="29">
        <f>POWER(A69,B69)</f>
        <v>1.4693280768000003</v>
      </c>
      <c r="D69" s="29">
        <v>0.08</v>
      </c>
      <c r="E69" s="29">
        <f>D69*C69</f>
        <v>0.11754624614400003</v>
      </c>
      <c r="F69" s="34"/>
      <c r="G69" s="34"/>
    </row>
    <row r="70" spans="1:8" x14ac:dyDescent="0.25">
      <c r="A70" s="29">
        <v>1.08</v>
      </c>
      <c r="B70" s="29">
        <v>5</v>
      </c>
      <c r="C70" s="29">
        <f>POWER(A70,B70)</f>
        <v>1.4693280768000003</v>
      </c>
      <c r="D70" s="29">
        <v>1</v>
      </c>
      <c r="E70" s="29">
        <f>C70-D70</f>
        <v>0.46932807680000033</v>
      </c>
      <c r="F70" s="29">
        <f>E69/E70</f>
        <v>0.25045645456683646</v>
      </c>
      <c r="G70" s="3">
        <v>100000</v>
      </c>
      <c r="H70" s="3">
        <f>G70*F70</f>
        <v>25045.645456683647</v>
      </c>
    </row>
    <row r="71" spans="1:8" x14ac:dyDescent="0.25">
      <c r="A71" s="33"/>
      <c r="B71" s="33"/>
      <c r="C71" s="33"/>
      <c r="D71" s="33"/>
      <c r="E71" s="33"/>
      <c r="F71" s="33"/>
      <c r="G71" s="35"/>
      <c r="H71" s="35"/>
    </row>
    <row r="72" spans="1:8" x14ac:dyDescent="0.25">
      <c r="A72" s="2" t="s">
        <v>87</v>
      </c>
      <c r="B72" s="3"/>
      <c r="C72" s="3">
        <v>100000</v>
      </c>
      <c r="D72" s="3">
        <f>C72-C75</f>
        <v>82954</v>
      </c>
      <c r="E72" s="3">
        <f t="shared" ref="E72:G72" si="20">D72-D75</f>
        <v>64544.32</v>
      </c>
      <c r="F72" s="3">
        <f t="shared" si="20"/>
        <v>44661.865600000005</v>
      </c>
      <c r="G72" s="3">
        <f t="shared" si="20"/>
        <v>23188.814848000005</v>
      </c>
    </row>
    <row r="73" spans="1:8" x14ac:dyDescent="0.25">
      <c r="A73" s="2" t="s">
        <v>64</v>
      </c>
      <c r="B73" s="3"/>
      <c r="C73" s="3">
        <v>25046</v>
      </c>
      <c r="D73" s="3">
        <v>25046</v>
      </c>
      <c r="E73" s="3">
        <v>25046</v>
      </c>
      <c r="F73" s="3">
        <v>25046</v>
      </c>
      <c r="G73" s="3">
        <v>25046</v>
      </c>
    </row>
    <row r="74" spans="1:8" x14ac:dyDescent="0.25">
      <c r="A74" s="2" t="s">
        <v>43</v>
      </c>
      <c r="B74" s="3"/>
      <c r="C74" s="3">
        <f>C72*0.08</f>
        <v>8000</v>
      </c>
      <c r="D74" s="3">
        <f t="shared" ref="D74:G74" si="21">D72*0.08</f>
        <v>6636.32</v>
      </c>
      <c r="E74" s="3">
        <f t="shared" si="21"/>
        <v>5163.5456000000004</v>
      </c>
      <c r="F74" s="3">
        <f t="shared" si="21"/>
        <v>3572.9492480000004</v>
      </c>
      <c r="G74" s="3">
        <f t="shared" si="21"/>
        <v>1855.1051878400006</v>
      </c>
    </row>
    <row r="75" spans="1:8" x14ac:dyDescent="0.25">
      <c r="A75" s="2" t="s">
        <v>65</v>
      </c>
      <c r="B75" s="3"/>
      <c r="C75" s="3">
        <f>C73-C74</f>
        <v>17046</v>
      </c>
      <c r="D75" s="3">
        <f t="shared" ref="D75:G75" si="22">D73-D74</f>
        <v>18409.68</v>
      </c>
      <c r="E75" s="3">
        <f t="shared" si="22"/>
        <v>19882.454399999999</v>
      </c>
      <c r="F75" s="3">
        <f t="shared" si="22"/>
        <v>21473.050751999999</v>
      </c>
      <c r="G75" s="3">
        <f t="shared" si="22"/>
        <v>23190.894812160001</v>
      </c>
    </row>
    <row r="76" spans="1:8" x14ac:dyDescent="0.25">
      <c r="A76" s="2" t="s">
        <v>63</v>
      </c>
      <c r="B76" s="3"/>
      <c r="C76" s="3">
        <f>C74*0.15</f>
        <v>1200</v>
      </c>
      <c r="D76" s="3">
        <f t="shared" ref="D76:G76" si="23">D74*0.15</f>
        <v>995.44799999999987</v>
      </c>
      <c r="E76" s="3">
        <f t="shared" si="23"/>
        <v>774.53183999999999</v>
      </c>
      <c r="F76" s="3">
        <f t="shared" si="23"/>
        <v>535.94238719999998</v>
      </c>
      <c r="G76" s="3">
        <f t="shared" si="23"/>
        <v>278.26577817600008</v>
      </c>
    </row>
    <row r="77" spans="1:8" x14ac:dyDescent="0.25">
      <c r="A77" s="2" t="s">
        <v>88</v>
      </c>
      <c r="B77" s="3"/>
      <c r="C77" s="3">
        <f>C73-C76</f>
        <v>23846</v>
      </c>
      <c r="D77" s="3">
        <f t="shared" ref="D77:G77" si="24">D73-D76</f>
        <v>24050.552</v>
      </c>
      <c r="E77" s="3">
        <f t="shared" si="24"/>
        <v>24271.46816</v>
      </c>
      <c r="F77" s="3">
        <f t="shared" si="24"/>
        <v>24510.057612799999</v>
      </c>
      <c r="G77" s="3">
        <f t="shared" si="24"/>
        <v>24767.734221824001</v>
      </c>
    </row>
    <row r="78" spans="1:8" x14ac:dyDescent="0.25">
      <c r="A78" s="2" t="s">
        <v>64</v>
      </c>
      <c r="B78" s="3">
        <v>100000</v>
      </c>
      <c r="C78" s="3">
        <f>-C73+C76</f>
        <v>-23846</v>
      </c>
      <c r="D78" s="3">
        <f t="shared" ref="D78:G78" si="25">-D73+D76</f>
        <v>-24050.552</v>
      </c>
      <c r="E78" s="3">
        <f t="shared" si="25"/>
        <v>-24271.46816</v>
      </c>
      <c r="F78" s="3">
        <f t="shared" si="25"/>
        <v>-24510.057612799999</v>
      </c>
      <c r="G78" s="3">
        <f t="shared" si="25"/>
        <v>-24767.734221824001</v>
      </c>
    </row>
    <row r="79" spans="1:8" x14ac:dyDescent="0.25">
      <c r="B79" s="9"/>
      <c r="C79" s="9"/>
      <c r="D79" s="9"/>
      <c r="E79" s="9"/>
      <c r="F79" s="9"/>
      <c r="G79" s="9"/>
    </row>
    <row r="80" spans="1:8" x14ac:dyDescent="0.25">
      <c r="A80" s="13" t="s">
        <v>66</v>
      </c>
      <c r="B80" s="16">
        <v>0.14000000000000001</v>
      </c>
      <c r="C80" s="9"/>
      <c r="D80" s="3">
        <f>B31</f>
        <v>100494.03488759999</v>
      </c>
      <c r="E80" s="9" t="s">
        <v>89</v>
      </c>
      <c r="F80" s="9"/>
      <c r="G80" s="9"/>
    </row>
    <row r="81" spans="1:7" x14ac:dyDescent="0.25">
      <c r="A81" s="13" t="s">
        <v>61</v>
      </c>
      <c r="B81" s="30">
        <f>NPV(B80,C78,D78,E78,F78,G78)+B78</f>
        <v>16818.280918406759</v>
      </c>
      <c r="C81" s="9"/>
      <c r="D81" s="3">
        <f>B64</f>
        <v>117311.86195673817</v>
      </c>
      <c r="E81" s="9" t="s">
        <v>90</v>
      </c>
      <c r="F81" s="9"/>
      <c r="G81" s="9"/>
    </row>
    <row r="82" spans="1:7" x14ac:dyDescent="0.25">
      <c r="B82" s="36" t="s">
        <v>5</v>
      </c>
      <c r="D82" s="14">
        <f>D81-D80</f>
        <v>16817.827069138177</v>
      </c>
      <c r="E82" t="s">
        <v>91</v>
      </c>
    </row>
  </sheetData>
  <pageMargins left="0.93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3"/>
  <sheetViews>
    <sheetView topLeftCell="A10" workbookViewId="0">
      <selection activeCell="D39" sqref="D39"/>
    </sheetView>
  </sheetViews>
  <sheetFormatPr baseColWidth="10" defaultRowHeight="15" x14ac:dyDescent="0.25"/>
  <cols>
    <col min="1" max="1" width="12.140625" customWidth="1"/>
    <col min="2" max="2" width="8.85546875" customWidth="1"/>
    <col min="3" max="3" width="11.5703125" customWidth="1"/>
    <col min="4" max="4" width="10.5703125" customWidth="1"/>
  </cols>
  <sheetData>
    <row r="1" spans="1:7" x14ac:dyDescent="0.25">
      <c r="B1" s="1">
        <v>0</v>
      </c>
      <c r="C1" s="1">
        <v>1</v>
      </c>
      <c r="D1" s="1">
        <v>2</v>
      </c>
      <c r="E1" s="1">
        <v>3</v>
      </c>
      <c r="F1" s="1">
        <v>4</v>
      </c>
      <c r="G1" s="1">
        <v>5</v>
      </c>
    </row>
    <row r="2" spans="1:7" x14ac:dyDescent="0.25">
      <c r="A2" s="2" t="s">
        <v>34</v>
      </c>
      <c r="B2" s="3">
        <v>-100000</v>
      </c>
      <c r="C2" s="3"/>
      <c r="D2" s="3"/>
      <c r="E2" s="3"/>
      <c r="F2" s="3"/>
      <c r="G2" s="3"/>
    </row>
    <row r="3" spans="1:7" x14ac:dyDescent="0.25">
      <c r="A3" s="2" t="s">
        <v>37</v>
      </c>
      <c r="B3" s="3">
        <v>-200000</v>
      </c>
      <c r="C3" s="3"/>
      <c r="D3" s="3"/>
      <c r="E3" s="3"/>
      <c r="F3" s="3"/>
      <c r="G3" s="3"/>
    </row>
    <row r="4" spans="1:7" x14ac:dyDescent="0.25">
      <c r="A4" s="2" t="s">
        <v>38</v>
      </c>
      <c r="B4" s="3">
        <v>-300000</v>
      </c>
      <c r="C4" s="3"/>
      <c r="D4" s="3"/>
      <c r="E4" s="3"/>
      <c r="F4" s="3"/>
      <c r="G4" s="3"/>
    </row>
    <row r="5" spans="1:7" x14ac:dyDescent="0.25">
      <c r="A5" s="2" t="s">
        <v>59</v>
      </c>
      <c r="B5" s="3">
        <v>-16500</v>
      </c>
      <c r="C5" s="3"/>
      <c r="D5" s="3"/>
      <c r="E5" s="3"/>
      <c r="F5" s="3"/>
      <c r="G5" s="3"/>
    </row>
    <row r="6" spans="1:7" x14ac:dyDescent="0.25">
      <c r="A6" s="2" t="s">
        <v>39</v>
      </c>
      <c r="B6" s="3"/>
      <c r="C6" s="3">
        <f>60000*12</f>
        <v>720000</v>
      </c>
      <c r="D6" s="3">
        <f>60000*12</f>
        <v>720000</v>
      </c>
      <c r="E6" s="3">
        <f>60000*12</f>
        <v>720000</v>
      </c>
      <c r="F6" s="3">
        <f>60000*12</f>
        <v>720000</v>
      </c>
      <c r="G6" s="3">
        <f>60000*12</f>
        <v>720000</v>
      </c>
    </row>
    <row r="7" spans="1:7" x14ac:dyDescent="0.25">
      <c r="A7" s="2" t="s">
        <v>24</v>
      </c>
      <c r="B7" s="3"/>
      <c r="C7" s="3">
        <f>-6000*24</f>
        <v>-144000</v>
      </c>
      <c r="D7" s="3">
        <f>-6000*24</f>
        <v>-144000</v>
      </c>
      <c r="E7" s="3">
        <f>-6000*24</f>
        <v>-144000</v>
      </c>
      <c r="F7" s="3">
        <f>-6000*24</f>
        <v>-144000</v>
      </c>
      <c r="G7" s="3">
        <f>-6000*24</f>
        <v>-144000</v>
      </c>
    </row>
    <row r="8" spans="1:7" x14ac:dyDescent="0.25">
      <c r="A8" s="2" t="s">
        <v>25</v>
      </c>
      <c r="B8" s="3"/>
      <c r="C8" s="3">
        <f>-6000*30</f>
        <v>-180000</v>
      </c>
      <c r="D8" s="3">
        <f>-6000*30</f>
        <v>-180000</v>
      </c>
      <c r="E8" s="3">
        <f>-6000*30</f>
        <v>-180000</v>
      </c>
      <c r="F8" s="3">
        <f>-6000*30</f>
        <v>-180000</v>
      </c>
      <c r="G8" s="3">
        <f>-6000*30</f>
        <v>-180000</v>
      </c>
    </row>
    <row r="9" spans="1:7" x14ac:dyDescent="0.25">
      <c r="A9" s="2" t="s">
        <v>30</v>
      </c>
      <c r="B9" s="3" t="s">
        <v>5</v>
      </c>
      <c r="C9" s="3">
        <f>-6000*15</f>
        <v>-90000</v>
      </c>
      <c r="D9" s="3">
        <f>-6000*15</f>
        <v>-90000</v>
      </c>
      <c r="E9" s="3">
        <f>-6000*15</f>
        <v>-90000</v>
      </c>
      <c r="F9" s="3">
        <f>-6000*15</f>
        <v>-90000</v>
      </c>
      <c r="G9" s="3">
        <f>-6000*15</f>
        <v>-90000</v>
      </c>
    </row>
    <row r="10" spans="1:7" x14ac:dyDescent="0.25">
      <c r="A10" s="2" t="s">
        <v>40</v>
      </c>
      <c r="B10" s="3"/>
      <c r="C10" s="3">
        <f>-6000*12</f>
        <v>-72000</v>
      </c>
      <c r="D10" s="3">
        <f>-6000*12</f>
        <v>-72000</v>
      </c>
      <c r="E10" s="3">
        <f>-6000*12</f>
        <v>-72000</v>
      </c>
      <c r="F10" s="3">
        <f>-6000*12</f>
        <v>-72000</v>
      </c>
      <c r="G10" s="3">
        <f>-6000*12</f>
        <v>-72000</v>
      </c>
    </row>
    <row r="11" spans="1:7" x14ac:dyDescent="0.25">
      <c r="A11" s="2" t="s">
        <v>41</v>
      </c>
      <c r="B11" s="3"/>
      <c r="C11" s="3">
        <f>B3/20</f>
        <v>-10000</v>
      </c>
      <c r="D11" s="3">
        <v>-10000</v>
      </c>
      <c r="E11" s="3">
        <v>-10000</v>
      </c>
      <c r="F11" s="3">
        <v>-10000</v>
      </c>
      <c r="G11" s="3">
        <v>-10000</v>
      </c>
    </row>
    <row r="12" spans="1:7" x14ac:dyDescent="0.25">
      <c r="A12" s="2" t="s">
        <v>42</v>
      </c>
      <c r="B12" s="3"/>
      <c r="C12" s="3">
        <f>B4/10</f>
        <v>-30000</v>
      </c>
      <c r="D12" s="3">
        <v>-30000</v>
      </c>
      <c r="E12" s="3">
        <v>-30000</v>
      </c>
      <c r="F12" s="3">
        <v>-30000</v>
      </c>
      <c r="G12" s="3">
        <v>-30000</v>
      </c>
    </row>
    <row r="13" spans="1:7" x14ac:dyDescent="0.25">
      <c r="A13" s="13" t="s">
        <v>45</v>
      </c>
      <c r="B13" s="14"/>
      <c r="C13" s="14">
        <f>SUM(C6:C12)</f>
        <v>194000</v>
      </c>
      <c r="D13" s="14">
        <f>SUM(D6:D12)</f>
        <v>194000</v>
      </c>
      <c r="E13" s="14">
        <f>SUM(E6:E12)</f>
        <v>194000</v>
      </c>
      <c r="F13" s="14">
        <f>SUM(F6:F12)</f>
        <v>194000</v>
      </c>
      <c r="G13" s="14">
        <f>SUM(G6:G12)</f>
        <v>194000</v>
      </c>
    </row>
    <row r="14" spans="1:7" x14ac:dyDescent="0.25">
      <c r="A14" s="2" t="s">
        <v>43</v>
      </c>
      <c r="B14" s="3"/>
      <c r="C14" s="3">
        <f>-50000*0.15</f>
        <v>-7500</v>
      </c>
      <c r="D14" s="3">
        <f>-40000*0.15</f>
        <v>-6000</v>
      </c>
      <c r="E14" s="3">
        <f>-30000*0.15</f>
        <v>-4500</v>
      </c>
      <c r="F14" s="3">
        <f>-20000*0.15</f>
        <v>-3000</v>
      </c>
      <c r="G14" s="3">
        <f>-10000*0.15</f>
        <v>-1500</v>
      </c>
    </row>
    <row r="15" spans="1:7" x14ac:dyDescent="0.25">
      <c r="A15" s="13" t="s">
        <v>44</v>
      </c>
      <c r="B15" s="14"/>
      <c r="C15" s="14">
        <f>C14+C13</f>
        <v>186500</v>
      </c>
      <c r="D15" s="14">
        <f>D14+D13</f>
        <v>188000</v>
      </c>
      <c r="E15" s="14">
        <f>E14+E13</f>
        <v>189500</v>
      </c>
      <c r="F15" s="14">
        <f>F14+F13</f>
        <v>191000</v>
      </c>
      <c r="G15" s="14">
        <f>G14+G13</f>
        <v>192500</v>
      </c>
    </row>
    <row r="16" spans="1:7" x14ac:dyDescent="0.25">
      <c r="A16" s="2" t="s">
        <v>46</v>
      </c>
      <c r="B16" s="3"/>
      <c r="C16" s="3">
        <f>-0.15*C15</f>
        <v>-27975</v>
      </c>
      <c r="D16" s="3">
        <f>-0.15*D15</f>
        <v>-28200</v>
      </c>
      <c r="E16" s="3">
        <f>-0.15*E15</f>
        <v>-28425</v>
      </c>
      <c r="F16" s="3">
        <f>-0.15*F15</f>
        <v>-28650</v>
      </c>
      <c r="G16" s="3">
        <f>-0.15*G15</f>
        <v>-28875</v>
      </c>
    </row>
    <row r="17" spans="1:7" x14ac:dyDescent="0.25">
      <c r="A17" s="13" t="s">
        <v>47</v>
      </c>
      <c r="B17" s="14"/>
      <c r="C17" s="14">
        <f>C16+C15</f>
        <v>158525</v>
      </c>
      <c r="D17" s="14">
        <f>D16+D15</f>
        <v>159800</v>
      </c>
      <c r="E17" s="14">
        <f>E16+E15</f>
        <v>161075</v>
      </c>
      <c r="F17" s="14">
        <f>F16+F15</f>
        <v>162350</v>
      </c>
      <c r="G17" s="14">
        <f>G16+G15</f>
        <v>163625</v>
      </c>
    </row>
    <row r="18" spans="1:7" x14ac:dyDescent="0.25">
      <c r="A18" s="2" t="s">
        <v>48</v>
      </c>
      <c r="B18" s="3"/>
      <c r="C18" s="3">
        <f>-10000</f>
        <v>-10000</v>
      </c>
      <c r="D18" s="3">
        <f>-10000</f>
        <v>-10000</v>
      </c>
      <c r="E18" s="3">
        <f>-10000</f>
        <v>-10000</v>
      </c>
      <c r="F18" s="3">
        <f>-10000</f>
        <v>-10000</v>
      </c>
      <c r="G18" s="3">
        <f>-10000</f>
        <v>-10000</v>
      </c>
    </row>
    <row r="19" spans="1:7" x14ac:dyDescent="0.25">
      <c r="A19" s="2" t="s">
        <v>41</v>
      </c>
      <c r="B19" s="3"/>
      <c r="C19" s="3">
        <v>10000</v>
      </c>
      <c r="D19" s="3">
        <v>10000</v>
      </c>
      <c r="E19" s="3">
        <v>10000</v>
      </c>
      <c r="F19" s="3">
        <v>10000</v>
      </c>
      <c r="G19" s="3">
        <v>10000</v>
      </c>
    </row>
    <row r="20" spans="1:7" x14ac:dyDescent="0.25">
      <c r="A20" s="2" t="s">
        <v>42</v>
      </c>
      <c r="B20" s="3"/>
      <c r="C20" s="3">
        <v>30000</v>
      </c>
      <c r="D20" s="3">
        <v>30000</v>
      </c>
      <c r="E20" s="3">
        <v>30000</v>
      </c>
      <c r="F20" s="3">
        <v>30000</v>
      </c>
      <c r="G20" s="3">
        <v>30000</v>
      </c>
    </row>
    <row r="21" spans="1:7" x14ac:dyDescent="0.25">
      <c r="A21" s="13" t="s">
        <v>56</v>
      </c>
      <c r="B21" s="3"/>
      <c r="C21" s="3"/>
      <c r="D21" s="3"/>
      <c r="E21" s="3"/>
      <c r="F21" s="3"/>
      <c r="G21" s="3">
        <v>73500</v>
      </c>
    </row>
    <row r="22" spans="1:7" x14ac:dyDescent="0.25">
      <c r="A22" s="13" t="s">
        <v>57</v>
      </c>
      <c r="B22" s="3"/>
      <c r="C22" s="3"/>
      <c r="D22" s="3"/>
      <c r="E22" s="3"/>
      <c r="F22" s="3"/>
      <c r="G22" s="3">
        <v>73500</v>
      </c>
    </row>
    <row r="23" spans="1:7" x14ac:dyDescent="0.25">
      <c r="A23" s="13" t="s">
        <v>34</v>
      </c>
      <c r="B23" s="3"/>
      <c r="C23" s="3"/>
      <c r="D23" s="3"/>
      <c r="E23" s="3"/>
      <c r="F23" s="3"/>
      <c r="G23" s="3">
        <v>100000</v>
      </c>
    </row>
    <row r="24" spans="1:7" x14ac:dyDescent="0.25">
      <c r="A24" s="13" t="s">
        <v>59</v>
      </c>
      <c r="B24" s="3"/>
      <c r="C24" s="3"/>
      <c r="D24" s="3"/>
      <c r="E24" s="3"/>
      <c r="F24" s="3"/>
      <c r="G24" s="3">
        <v>16500</v>
      </c>
    </row>
    <row r="25" spans="1:7" x14ac:dyDescent="0.25">
      <c r="A25" s="13" t="s">
        <v>49</v>
      </c>
      <c r="B25" s="14">
        <f>SUM(B2:B6)+50000</f>
        <v>-566500</v>
      </c>
      <c r="C25" s="14">
        <f>SUM(C17:C24)</f>
        <v>188525</v>
      </c>
      <c r="D25" s="14">
        <f>SUM(D17:D24)</f>
        <v>189800</v>
      </c>
      <c r="E25" s="14">
        <f>SUM(E17:E24)</f>
        <v>191075</v>
      </c>
      <c r="F25" s="14">
        <f>SUM(F17:F24)</f>
        <v>192350</v>
      </c>
      <c r="G25" s="14">
        <f>SUM(G17:G24)</f>
        <v>457125</v>
      </c>
    </row>
    <row r="26" spans="1:7" x14ac:dyDescent="0.25">
      <c r="B26" s="9"/>
      <c r="C26" s="9"/>
      <c r="D26" s="9"/>
      <c r="E26" s="9"/>
      <c r="F26" s="9"/>
      <c r="G26" s="9"/>
    </row>
    <row r="27" spans="1:7" x14ac:dyDescent="0.25">
      <c r="B27" s="9"/>
      <c r="C27" s="9"/>
      <c r="D27" s="9"/>
      <c r="E27" s="9"/>
      <c r="F27" s="9"/>
      <c r="G27" s="9"/>
    </row>
    <row r="28" spans="1:7" x14ac:dyDescent="0.25">
      <c r="A28" s="15" t="s">
        <v>60</v>
      </c>
      <c r="B28" s="5">
        <v>0.2</v>
      </c>
      <c r="C28" s="9"/>
      <c r="D28" s="9"/>
      <c r="E28" s="9"/>
      <c r="F28" s="9"/>
      <c r="G28" s="9"/>
    </row>
    <row r="29" spans="1:7" x14ac:dyDescent="0.25">
      <c r="A29" s="15" t="s">
        <v>61</v>
      </c>
      <c r="B29" s="12">
        <f>NPV(B28,C25,D25,E25,F25,G25)+B25</f>
        <v>109455.19868827169</v>
      </c>
      <c r="C29" s="9"/>
      <c r="D29" s="9"/>
      <c r="E29" s="9"/>
      <c r="F29" s="9"/>
      <c r="G29" s="9"/>
    </row>
    <row r="30" spans="1:7" x14ac:dyDescent="0.25">
      <c r="B30" s="9"/>
      <c r="C30" s="9"/>
      <c r="D30" s="9"/>
      <c r="E30" s="9"/>
      <c r="F30" s="9"/>
      <c r="G30" s="9"/>
    </row>
    <row r="31" spans="1:7" x14ac:dyDescent="0.25">
      <c r="A31" s="2" t="s">
        <v>43</v>
      </c>
      <c r="B31" s="3"/>
      <c r="C31" s="3">
        <v>7500</v>
      </c>
      <c r="D31" s="3">
        <v>6000</v>
      </c>
      <c r="E31" s="3">
        <v>4500</v>
      </c>
      <c r="F31" s="3">
        <v>3000</v>
      </c>
      <c r="G31" s="3">
        <v>1500</v>
      </c>
    </row>
    <row r="32" spans="1:7" x14ac:dyDescent="0.25">
      <c r="A32" s="2" t="s">
        <v>62</v>
      </c>
      <c r="B32" s="3"/>
      <c r="C32" s="3">
        <f>C31*0.15</f>
        <v>1125</v>
      </c>
      <c r="D32" s="3">
        <f>D31*0.15</f>
        <v>900</v>
      </c>
      <c r="E32" s="3">
        <f>E31*0.15</f>
        <v>675</v>
      </c>
      <c r="F32" s="3">
        <f>F31*0.15</f>
        <v>450</v>
      </c>
      <c r="G32" s="3">
        <f>G31*0.15</f>
        <v>225</v>
      </c>
    </row>
    <row r="33" spans="1:7" x14ac:dyDescent="0.25">
      <c r="A33" s="2" t="s">
        <v>63</v>
      </c>
      <c r="B33" s="3"/>
      <c r="C33" s="3">
        <f>C31-C32</f>
        <v>6375</v>
      </c>
      <c r="D33" s="3">
        <f>D31-D32</f>
        <v>5100</v>
      </c>
      <c r="E33" s="3">
        <f>E31-E32</f>
        <v>3825</v>
      </c>
      <c r="F33" s="3">
        <f>F31-F32</f>
        <v>2550</v>
      </c>
      <c r="G33" s="3">
        <f>G31-G32</f>
        <v>1275</v>
      </c>
    </row>
    <row r="34" spans="1:7" x14ac:dyDescent="0.25">
      <c r="A34" s="2" t="s">
        <v>65</v>
      </c>
      <c r="B34" s="3"/>
      <c r="C34" s="3">
        <v>10000</v>
      </c>
      <c r="D34" s="3">
        <v>10000</v>
      </c>
      <c r="E34" s="3">
        <v>10000</v>
      </c>
      <c r="F34" s="3">
        <v>10000</v>
      </c>
      <c r="G34" s="3">
        <v>10000</v>
      </c>
    </row>
    <row r="35" spans="1:7" x14ac:dyDescent="0.25">
      <c r="A35" s="2" t="s">
        <v>64</v>
      </c>
      <c r="B35" s="3">
        <v>-50000</v>
      </c>
      <c r="C35" s="3">
        <f>C34+C33</f>
        <v>16375</v>
      </c>
      <c r="D35" s="3">
        <f>D34+D33</f>
        <v>15100</v>
      </c>
      <c r="E35" s="3">
        <f>E34+E33</f>
        <v>13825</v>
      </c>
      <c r="F35" s="3">
        <f>F34+F33</f>
        <v>12550</v>
      </c>
      <c r="G35" s="3">
        <f>G34+G33</f>
        <v>11275</v>
      </c>
    </row>
    <row r="36" spans="1:7" x14ac:dyDescent="0.25">
      <c r="B36" s="9"/>
      <c r="C36" s="9"/>
      <c r="D36" s="9"/>
      <c r="E36" s="9"/>
      <c r="F36" s="9"/>
      <c r="G36" s="9"/>
    </row>
    <row r="37" spans="1:7" x14ac:dyDescent="0.25">
      <c r="A37" s="13" t="s">
        <v>66</v>
      </c>
      <c r="B37" s="16">
        <v>0.2</v>
      </c>
      <c r="C37" s="9"/>
      <c r="D37" s="3">
        <v>102171</v>
      </c>
      <c r="E37" s="9"/>
      <c r="F37" s="9"/>
      <c r="G37" s="9"/>
    </row>
    <row r="38" spans="1:7" x14ac:dyDescent="0.25">
      <c r="A38" s="13" t="s">
        <v>61</v>
      </c>
      <c r="B38" s="14">
        <f>NPV(B37,C35,D35,E35,F35,G35)+B35</f>
        <v>-7284.0309927983471</v>
      </c>
      <c r="C38" s="9"/>
      <c r="D38" s="3">
        <v>109455</v>
      </c>
      <c r="E38" s="9"/>
      <c r="F38" s="9"/>
      <c r="G38" s="9"/>
    </row>
    <row r="39" spans="1:7" x14ac:dyDescent="0.25">
      <c r="A39" s="17"/>
      <c r="B39" s="18"/>
      <c r="C39" s="9"/>
      <c r="D39" s="14">
        <f>D38-D37</f>
        <v>7284</v>
      </c>
      <c r="E39" s="9"/>
      <c r="F39" s="9"/>
      <c r="G39" s="9"/>
    </row>
    <row r="40" spans="1:7" x14ac:dyDescent="0.25">
      <c r="A40" s="17"/>
      <c r="B40" s="18"/>
      <c r="C40" s="9"/>
      <c r="D40" s="9"/>
      <c r="E40" s="9"/>
      <c r="F40" s="9"/>
      <c r="G40" s="9"/>
    </row>
    <row r="41" spans="1:7" x14ac:dyDescent="0.25">
      <c r="A41" s="17"/>
      <c r="B41" s="18"/>
      <c r="C41" s="9"/>
      <c r="D41" s="9"/>
      <c r="E41" s="9"/>
      <c r="F41" s="9"/>
      <c r="G41" s="9"/>
    </row>
    <row r="42" spans="1:7" x14ac:dyDescent="0.25">
      <c r="B42" s="9"/>
      <c r="C42" s="9"/>
      <c r="D42" s="9"/>
      <c r="E42" s="9"/>
      <c r="F42" s="9"/>
      <c r="G42" s="9"/>
    </row>
    <row r="43" spans="1:7" x14ac:dyDescent="0.25">
      <c r="B43" s="1">
        <v>0</v>
      </c>
      <c r="C43" s="1">
        <v>1</v>
      </c>
      <c r="D43" s="1">
        <v>2</v>
      </c>
      <c r="E43" s="1">
        <v>3</v>
      </c>
      <c r="F43" s="1">
        <v>4</v>
      </c>
      <c r="G43" s="1">
        <v>5</v>
      </c>
    </row>
    <row r="44" spans="1:7" x14ac:dyDescent="0.25">
      <c r="A44" s="2" t="s">
        <v>34</v>
      </c>
      <c r="B44" s="3">
        <v>-100000</v>
      </c>
      <c r="C44" s="3"/>
      <c r="D44" s="3"/>
      <c r="E44" s="3"/>
      <c r="F44" s="3"/>
      <c r="G44" s="3"/>
    </row>
    <row r="45" spans="1:7" x14ac:dyDescent="0.25">
      <c r="A45" s="2" t="s">
        <v>37</v>
      </c>
      <c r="B45" s="3">
        <v>-200000</v>
      </c>
      <c r="C45" s="3"/>
      <c r="D45" s="3"/>
      <c r="E45" s="3"/>
      <c r="F45" s="3"/>
      <c r="G45" s="3"/>
    </row>
    <row r="46" spans="1:7" x14ac:dyDescent="0.25">
      <c r="A46" s="2" t="s">
        <v>38</v>
      </c>
      <c r="B46" s="3">
        <v>-300000</v>
      </c>
      <c r="C46" s="3"/>
      <c r="D46" s="3"/>
      <c r="E46" s="3"/>
      <c r="F46" s="3"/>
      <c r="G46" s="3"/>
    </row>
    <row r="47" spans="1:7" x14ac:dyDescent="0.25">
      <c r="A47" s="2" t="s">
        <v>59</v>
      </c>
      <c r="B47" s="3">
        <v>-16500</v>
      </c>
      <c r="C47" s="3"/>
      <c r="D47" s="3"/>
      <c r="E47" s="3"/>
      <c r="F47" s="3"/>
      <c r="G47" s="3"/>
    </row>
    <row r="48" spans="1:7" x14ac:dyDescent="0.25">
      <c r="A48" s="2" t="s">
        <v>39</v>
      </c>
      <c r="B48" s="3"/>
      <c r="C48" s="3">
        <f>60000*12</f>
        <v>720000</v>
      </c>
      <c r="D48" s="3">
        <f>60000*12</f>
        <v>720000</v>
      </c>
      <c r="E48" s="3">
        <f>60000*12</f>
        <v>720000</v>
      </c>
      <c r="F48" s="3">
        <f>60000*12</f>
        <v>720000</v>
      </c>
      <c r="G48" s="3">
        <f>60000*12</f>
        <v>720000</v>
      </c>
    </row>
    <row r="49" spans="1:7" x14ac:dyDescent="0.25">
      <c r="A49" s="2" t="s">
        <v>24</v>
      </c>
      <c r="B49" s="3"/>
      <c r="C49" s="3">
        <f>-6000*24</f>
        <v>-144000</v>
      </c>
      <c r="D49" s="3">
        <f>-6000*24</f>
        <v>-144000</v>
      </c>
      <c r="E49" s="3">
        <f>-6000*24</f>
        <v>-144000</v>
      </c>
      <c r="F49" s="3">
        <f>-6000*24</f>
        <v>-144000</v>
      </c>
      <c r="G49" s="3">
        <f>-6000*24</f>
        <v>-144000</v>
      </c>
    </row>
    <row r="50" spans="1:7" x14ac:dyDescent="0.25">
      <c r="A50" s="2" t="s">
        <v>25</v>
      </c>
      <c r="B50" s="3"/>
      <c r="C50" s="3">
        <f>-6000*30</f>
        <v>-180000</v>
      </c>
      <c r="D50" s="3">
        <f>-6000*30</f>
        <v>-180000</v>
      </c>
      <c r="E50" s="3">
        <f>-6000*30</f>
        <v>-180000</v>
      </c>
      <c r="F50" s="3">
        <f>-6000*30</f>
        <v>-180000</v>
      </c>
      <c r="G50" s="3">
        <f>-6000*30</f>
        <v>-180000</v>
      </c>
    </row>
    <row r="51" spans="1:7" x14ac:dyDescent="0.25">
      <c r="A51" s="2" t="s">
        <v>30</v>
      </c>
      <c r="B51" s="3" t="s">
        <v>5</v>
      </c>
      <c r="C51" s="3">
        <f>-6000*15</f>
        <v>-90000</v>
      </c>
      <c r="D51" s="3">
        <f>-6000*15</f>
        <v>-90000</v>
      </c>
      <c r="E51" s="3">
        <f>-6000*15</f>
        <v>-90000</v>
      </c>
      <c r="F51" s="3">
        <f>-6000*15</f>
        <v>-90000</v>
      </c>
      <c r="G51" s="3">
        <f>-6000*15</f>
        <v>-90000</v>
      </c>
    </row>
    <row r="52" spans="1:7" x14ac:dyDescent="0.25">
      <c r="A52" s="2" t="s">
        <v>40</v>
      </c>
      <c r="B52" s="3"/>
      <c r="C52" s="3">
        <f>-6000*12</f>
        <v>-72000</v>
      </c>
      <c r="D52" s="3">
        <f>-6000*12</f>
        <v>-72000</v>
      </c>
      <c r="E52" s="3">
        <f>-6000*12</f>
        <v>-72000</v>
      </c>
      <c r="F52" s="3">
        <f>-6000*12</f>
        <v>-72000</v>
      </c>
      <c r="G52" s="3">
        <f>-6000*12</f>
        <v>-72000</v>
      </c>
    </row>
    <row r="53" spans="1:7" x14ac:dyDescent="0.25">
      <c r="A53" s="2" t="s">
        <v>41</v>
      </c>
      <c r="B53" s="3"/>
      <c r="C53" s="3">
        <f>B45/20</f>
        <v>-10000</v>
      </c>
      <c r="D53" s="3">
        <v>-10000</v>
      </c>
      <c r="E53" s="3">
        <v>-10000</v>
      </c>
      <c r="F53" s="3">
        <v>-10000</v>
      </c>
      <c r="G53" s="3">
        <v>-10000</v>
      </c>
    </row>
    <row r="54" spans="1:7" x14ac:dyDescent="0.25">
      <c r="A54" s="2" t="s">
        <v>42</v>
      </c>
      <c r="B54" s="3"/>
      <c r="C54" s="3">
        <f>B46/10</f>
        <v>-30000</v>
      </c>
      <c r="D54" s="3">
        <v>-30000</v>
      </c>
      <c r="E54" s="3">
        <v>-30000</v>
      </c>
      <c r="F54" s="3">
        <v>-30000</v>
      </c>
      <c r="G54" s="3">
        <v>-30000</v>
      </c>
    </row>
    <row r="55" spans="1:7" x14ac:dyDescent="0.25">
      <c r="A55" s="13" t="s">
        <v>45</v>
      </c>
      <c r="B55" s="14"/>
      <c r="C55" s="14">
        <f>SUM(C48:C54)</f>
        <v>194000</v>
      </c>
      <c r="D55" s="14">
        <f>SUM(D48:D54)</f>
        <v>194000</v>
      </c>
      <c r="E55" s="14">
        <f>SUM(E48:E54)</f>
        <v>194000</v>
      </c>
      <c r="F55" s="14">
        <f>SUM(F48:F54)</f>
        <v>194000</v>
      </c>
      <c r="G55" s="14">
        <f>SUM(G48:G54)</f>
        <v>194000</v>
      </c>
    </row>
    <row r="56" spans="1:7" x14ac:dyDescent="0.25">
      <c r="A56" s="2" t="s">
        <v>43</v>
      </c>
      <c r="B56" s="3"/>
      <c r="C56" s="3">
        <v>0</v>
      </c>
      <c r="D56" s="3">
        <v>0</v>
      </c>
      <c r="E56" s="3">
        <v>0</v>
      </c>
      <c r="F56" s="3">
        <v>0</v>
      </c>
      <c r="G56" s="3">
        <v>0</v>
      </c>
    </row>
    <row r="57" spans="1:7" x14ac:dyDescent="0.25">
      <c r="A57" s="13" t="s">
        <v>44</v>
      </c>
      <c r="B57" s="14"/>
      <c r="C57" s="14">
        <f>C56+C55</f>
        <v>194000</v>
      </c>
      <c r="D57" s="14">
        <f>D56+D55</f>
        <v>194000</v>
      </c>
      <c r="E57" s="14">
        <f>E56+E55</f>
        <v>194000</v>
      </c>
      <c r="F57" s="14">
        <f>F56+F55</f>
        <v>194000</v>
      </c>
      <c r="G57" s="14">
        <f>G56+G55</f>
        <v>194000</v>
      </c>
    </row>
    <row r="58" spans="1:7" x14ac:dyDescent="0.25">
      <c r="A58" s="2" t="s">
        <v>46</v>
      </c>
      <c r="B58" s="3"/>
      <c r="C58" s="3">
        <f>-0.15*C57</f>
        <v>-29100</v>
      </c>
      <c r="D58" s="3">
        <f>-0.15*D57</f>
        <v>-29100</v>
      </c>
      <c r="E58" s="3">
        <f>-0.15*E57</f>
        <v>-29100</v>
      </c>
      <c r="F58" s="3">
        <f>-0.15*F57</f>
        <v>-29100</v>
      </c>
      <c r="G58" s="3">
        <f>-0.15*G57</f>
        <v>-29100</v>
      </c>
    </row>
    <row r="59" spans="1:7" x14ac:dyDescent="0.25">
      <c r="A59" s="13" t="s">
        <v>47</v>
      </c>
      <c r="B59" s="14"/>
      <c r="C59" s="14">
        <f>C58+C57</f>
        <v>164900</v>
      </c>
      <c r="D59" s="14">
        <f>D58+D57</f>
        <v>164900</v>
      </c>
      <c r="E59" s="14">
        <f>E58+E57</f>
        <v>164900</v>
      </c>
      <c r="F59" s="14">
        <f>F58+F57</f>
        <v>164900</v>
      </c>
      <c r="G59" s="14">
        <f>G58+G57</f>
        <v>164900</v>
      </c>
    </row>
    <row r="60" spans="1:7" x14ac:dyDescent="0.25">
      <c r="A60" s="2" t="s">
        <v>48</v>
      </c>
      <c r="B60" s="3"/>
      <c r="C60" s="3">
        <v>0</v>
      </c>
      <c r="D60" s="3">
        <v>0</v>
      </c>
      <c r="E60" s="3">
        <v>0</v>
      </c>
      <c r="F60" s="3">
        <v>0</v>
      </c>
      <c r="G60" s="3">
        <v>0</v>
      </c>
    </row>
    <row r="61" spans="1:7" x14ac:dyDescent="0.25">
      <c r="A61" s="2" t="s">
        <v>41</v>
      </c>
      <c r="B61" s="3"/>
      <c r="C61" s="3">
        <v>10000</v>
      </c>
      <c r="D61" s="3">
        <v>10000</v>
      </c>
      <c r="E61" s="3">
        <v>10000</v>
      </c>
      <c r="F61" s="3">
        <v>10000</v>
      </c>
      <c r="G61" s="3">
        <v>10000</v>
      </c>
    </row>
    <row r="62" spans="1:7" x14ac:dyDescent="0.25">
      <c r="A62" s="2" t="s">
        <v>42</v>
      </c>
      <c r="B62" s="3"/>
      <c r="C62" s="3">
        <v>30000</v>
      </c>
      <c r="D62" s="3">
        <v>30000</v>
      </c>
      <c r="E62" s="3">
        <v>30000</v>
      </c>
      <c r="F62" s="3">
        <v>30000</v>
      </c>
      <c r="G62" s="3">
        <v>30000</v>
      </c>
    </row>
    <row r="63" spans="1:7" x14ac:dyDescent="0.25">
      <c r="A63" s="13" t="s">
        <v>56</v>
      </c>
      <c r="B63" s="3"/>
      <c r="C63" s="3"/>
      <c r="D63" s="3"/>
      <c r="E63" s="3"/>
      <c r="F63" s="3"/>
      <c r="G63" s="3">
        <v>73500</v>
      </c>
    </row>
    <row r="64" spans="1:7" x14ac:dyDescent="0.25">
      <c r="A64" s="13" t="s">
        <v>57</v>
      </c>
      <c r="B64" s="3"/>
      <c r="C64" s="3"/>
      <c r="D64" s="3"/>
      <c r="E64" s="3"/>
      <c r="F64" s="3"/>
      <c r="G64" s="3">
        <v>73500</v>
      </c>
    </row>
    <row r="65" spans="1:7" x14ac:dyDescent="0.25">
      <c r="A65" s="13" t="s">
        <v>34</v>
      </c>
      <c r="B65" s="3"/>
      <c r="C65" s="3"/>
      <c r="D65" s="3"/>
      <c r="E65" s="3"/>
      <c r="F65" s="3"/>
      <c r="G65" s="3">
        <v>100000</v>
      </c>
    </row>
    <row r="66" spans="1:7" x14ac:dyDescent="0.25">
      <c r="A66" s="13" t="s">
        <v>59</v>
      </c>
      <c r="B66" s="3"/>
      <c r="C66" s="3"/>
      <c r="D66" s="3"/>
      <c r="E66" s="3"/>
      <c r="F66" s="3"/>
      <c r="G66" s="3">
        <v>16500</v>
      </c>
    </row>
    <row r="67" spans="1:7" x14ac:dyDescent="0.25">
      <c r="A67" s="13" t="s">
        <v>49</v>
      </c>
      <c r="B67" s="14">
        <f>SUM(B44:B48)</f>
        <v>-616500</v>
      </c>
      <c r="C67" s="14">
        <f>SUM(C59:C66)</f>
        <v>204900</v>
      </c>
      <c r="D67" s="14">
        <f>SUM(D59:D66)</f>
        <v>204900</v>
      </c>
      <c r="E67" s="14">
        <f>SUM(E59:E66)</f>
        <v>204900</v>
      </c>
      <c r="F67" s="14">
        <f>SUM(F59:F66)</f>
        <v>204900</v>
      </c>
      <c r="G67" s="14">
        <f>SUM(G59:G66)</f>
        <v>468400</v>
      </c>
    </row>
    <row r="68" spans="1:7" x14ac:dyDescent="0.25">
      <c r="B68" s="9"/>
      <c r="C68" s="9"/>
      <c r="D68" s="9"/>
      <c r="E68" s="9"/>
      <c r="F68" s="9"/>
      <c r="G68" s="9"/>
    </row>
    <row r="69" spans="1:7" x14ac:dyDescent="0.25">
      <c r="B69" s="9"/>
      <c r="C69" s="9"/>
      <c r="D69" s="9"/>
      <c r="E69" s="9"/>
      <c r="F69" s="9"/>
      <c r="G69" s="9"/>
    </row>
    <row r="70" spans="1:7" x14ac:dyDescent="0.25">
      <c r="A70" s="15" t="s">
        <v>60</v>
      </c>
      <c r="B70" s="5">
        <v>0.2</v>
      </c>
      <c r="C70" s="9"/>
      <c r="D70" s="9"/>
      <c r="E70" s="9"/>
      <c r="F70" s="9"/>
      <c r="G70" s="9"/>
    </row>
    <row r="71" spans="1:7" x14ac:dyDescent="0.25">
      <c r="A71" s="15" t="s">
        <v>61</v>
      </c>
      <c r="B71" s="12">
        <f>NPV(B70,C67,D67,E67,F67,G67)+B67</f>
        <v>102171.1676954733</v>
      </c>
      <c r="C71" s="9"/>
      <c r="D71" s="3">
        <v>102171</v>
      </c>
      <c r="E71" s="9"/>
      <c r="F71" s="9"/>
      <c r="G71" s="9"/>
    </row>
    <row r="72" spans="1:7" x14ac:dyDescent="0.25">
      <c r="D72" s="3">
        <v>7279</v>
      </c>
    </row>
    <row r="73" spans="1:7" x14ac:dyDescent="0.25">
      <c r="D73" s="14">
        <f>SUM(D71:D72)</f>
        <v>109450</v>
      </c>
    </row>
  </sheetData>
  <pageMargins left="1.05" right="0.70866141732283472" top="1.01" bottom="0.35433070866141736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Mineria</dc:creator>
  <cp:lastModifiedBy>Usuario de Windows</cp:lastModifiedBy>
  <cp:lastPrinted>2020-08-12T15:20:25Z</cp:lastPrinted>
  <dcterms:created xsi:type="dcterms:W3CDTF">2011-05-02T21:13:08Z</dcterms:created>
  <dcterms:modified xsi:type="dcterms:W3CDTF">2020-08-12T15:52:50Z</dcterms:modified>
</cp:coreProperties>
</file>